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<sst xmlns="http://schemas.openxmlformats.org/spreadsheetml/2006/main" count="432" uniqueCount="347">
  <si>
    <t>İşaret</t>
  </si>
  <si>
    <t>Yön</t>
  </si>
  <si>
    <t>Kalınlık</t>
  </si>
  <si>
    <t>cm</t>
  </si>
  <si>
    <t>Uzunluk</t>
  </si>
  <si>
    <t>Yükseklik veya Genişlik</t>
  </si>
  <si>
    <t>Toplam Alan</t>
  </si>
  <si>
    <t>Miktar</t>
  </si>
  <si>
    <t>Ad</t>
  </si>
  <si>
    <t>Çıkarılan Alan</t>
  </si>
  <si>
    <t>Hesaba Giren Alan</t>
  </si>
  <si>
    <t>Yapı Bileşeni</t>
  </si>
  <si>
    <t>Alan Hesabı</t>
  </si>
  <si>
    <t>Isı İletim Katsayısı</t>
  </si>
  <si>
    <r>
      <t>m</t>
    </r>
    <r>
      <rPr>
        <sz val="10"/>
        <rFont val="Arial"/>
        <family val="2"/>
      </rPr>
      <t>²</t>
    </r>
  </si>
  <si>
    <r>
      <t>º</t>
    </r>
    <r>
      <rPr>
        <sz val="10"/>
        <rFont val="Arial Tur"/>
        <family val="0"/>
      </rPr>
      <t>C</t>
    </r>
  </si>
  <si>
    <t>Sayfa</t>
  </si>
  <si>
    <t>Kat</t>
  </si>
  <si>
    <t>Tarih</t>
  </si>
  <si>
    <t>&gt;</t>
  </si>
  <si>
    <t>Ti=</t>
  </si>
  <si>
    <t>TESİSİN Adı:</t>
  </si>
  <si>
    <t>*m</t>
  </si>
  <si>
    <t>m3</t>
  </si>
  <si>
    <t>Topl Cam Alanı</t>
  </si>
  <si>
    <t>m2</t>
  </si>
  <si>
    <t>Isı İletim Katsayı</t>
  </si>
  <si>
    <t>Q</t>
  </si>
  <si>
    <t>Cam ısı ilet kats</t>
  </si>
  <si>
    <t>Q'</t>
  </si>
  <si>
    <t>kcal/h</t>
  </si>
  <si>
    <t>Kc*</t>
  </si>
  <si>
    <t>Ac*</t>
  </si>
  <si>
    <t>K*</t>
  </si>
  <si>
    <t>Vb*</t>
  </si>
  <si>
    <t>d</t>
  </si>
  <si>
    <t>Boru   çapı</t>
  </si>
  <si>
    <t>İNÇ</t>
  </si>
  <si>
    <t>mm</t>
  </si>
  <si>
    <t>Td</t>
  </si>
  <si>
    <t>Ti</t>
  </si>
  <si>
    <t>Mahal Brüt Hacmi</t>
  </si>
  <si>
    <t>H</t>
  </si>
  <si>
    <t>Mahal  Alanı</t>
  </si>
  <si>
    <t>KA</t>
  </si>
  <si>
    <t>Kat Adedi</t>
  </si>
  <si>
    <t>Kat Yüksekliği</t>
  </si>
  <si>
    <t>A</t>
  </si>
  <si>
    <t>m</t>
  </si>
  <si>
    <t>1.BÖLGE</t>
  </si>
  <si>
    <t>2.BÖLGE</t>
  </si>
  <si>
    <t>3.BÖLGE</t>
  </si>
  <si>
    <t>4.BÖLGE</t>
  </si>
  <si>
    <t>S</t>
  </si>
  <si>
    <t>C</t>
  </si>
  <si>
    <t>kWh/m2</t>
  </si>
  <si>
    <t>kcal/hm2</t>
  </si>
  <si>
    <t>TİA</t>
  </si>
  <si>
    <t>Topl.Fay.İnş.Al</t>
  </si>
  <si>
    <t>Kdd</t>
  </si>
  <si>
    <t>W/.m2k</t>
  </si>
  <si>
    <t>Seç
Böl
ge</t>
  </si>
  <si>
    <t>SEÇİLEN DEĞERLER</t>
  </si>
  <si>
    <t>ŞEHİR</t>
  </si>
  <si>
    <t>YAZ</t>
  </si>
  <si>
    <t>ADANA</t>
  </si>
  <si>
    <t>ADAPAZARI</t>
  </si>
  <si>
    <t>AFYON</t>
  </si>
  <si>
    <t>ANKARA</t>
  </si>
  <si>
    <t>ANTAKYA</t>
  </si>
  <si>
    <t>ANTALYA</t>
  </si>
  <si>
    <t>AYDIN</t>
  </si>
  <si>
    <t>BALIKESİR</t>
  </si>
  <si>
    <t>BANDIRMA</t>
  </si>
  <si>
    <t>BİLECİK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</si>
  <si>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</si>
  <si>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</si>
  <si>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</si>
  <si>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</si>
  <si>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</si>
  <si>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</si>
  <si>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</si>
  <si>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</si>
  <si>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</si>
  <si>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</si>
  <si>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</si>
  <si>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</si>
  <si>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</si>
  <si>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</si>
  <si>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</si>
  <si>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IĞDIR</t>
  </si>
  <si>
    <t>ISPARTA</t>
  </si>
  <si>
    <t>İSKENDERUN</t>
  </si>
  <si>
    <t>İZMİR</t>
  </si>
  <si>
    <t>KARS</t>
  </si>
  <si>
    <t>KASTAMONU</t>
  </si>
  <si>
    <t>KAYSERİ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</si>
  <si>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</si>
  <si>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</si>
  <si>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</si>
  <si>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</si>
  <si>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</si>
  <si>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</si>
  <si>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</si>
  <si>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</si>
  <si>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</si>
  <si>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</si>
  <si>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RİZE</t>
  </si>
  <si>
    <t>SAMSUN</t>
  </si>
  <si>
    <t>SİİRT</t>
  </si>
  <si>
    <t>SİNOP</t>
  </si>
  <si>
    <t>SİVAS</t>
  </si>
  <si>
    <t>ŞANLIURFA</t>
  </si>
  <si>
    <t>TEKİRDAĞ</t>
  </si>
  <si>
    <t>TRABZON</t>
  </si>
  <si>
    <t>UŞAK</t>
  </si>
  <si>
    <t>VAN</t>
  </si>
  <si>
    <t>YOZGAT</t>
  </si>
  <si>
    <t>ZONGULDAK</t>
  </si>
  <si>
    <t>OSMANİYE</t>
  </si>
  <si>
    <t>KÖYCEĞİZ</t>
  </si>
  <si>
    <t>MİLAS</t>
  </si>
  <si>
    <t>GÖKOVA</t>
  </si>
  <si>
    <t>MARMARİ</t>
  </si>
  <si>
    <t>DALAMAN</t>
  </si>
  <si>
    <t>BODRUM</t>
  </si>
  <si>
    <t>DATÇA</t>
  </si>
  <si>
    <t>AYVALIK</t>
  </si>
  <si>
    <t>FETHİYE</t>
  </si>
  <si>
    <t>ADIYAMAN</t>
  </si>
  <si>
    <t>AMASYA</t>
  </si>
  <si>
    <t>BARTIN</t>
  </si>
  <si>
    <t>BATMAN</t>
  </si>
  <si>
    <t>K.MARAŞ</t>
  </si>
  <si>
    <t>ORDU</t>
  </si>
  <si>
    <t>ŞIRNAK</t>
  </si>
  <si>
    <t>HOPA</t>
  </si>
  <si>
    <t>ARHAVİ</t>
  </si>
  <si>
    <t>DÜZCE</t>
  </si>
  <si>
    <t>ABANA</t>
  </si>
  <si>
    <t>İNEBOLU</t>
  </si>
  <si>
    <t>BOZKURT</t>
  </si>
  <si>
    <t>KİLİS</t>
  </si>
  <si>
    <t>YALOVA</t>
  </si>
  <si>
    <t>CİDE</t>
  </si>
  <si>
    <t>ÇATALZEYTİN</t>
  </si>
  <si>
    <t>DOĞANYURT</t>
  </si>
  <si>
    <t>AKSARAY</t>
  </si>
  <si>
    <t>ARTVİN</t>
  </si>
  <si>
    <t>BİNGÖL</t>
  </si>
  <si>
    <t>KARABÜK</t>
  </si>
  <si>
    <t>KARAMAN</t>
  </si>
  <si>
    <t>KIRIKALE</t>
  </si>
  <si>
    <t>NEVŞEHİR</t>
  </si>
  <si>
    <t>TOKAT</t>
  </si>
  <si>
    <t>TUNCELİ</t>
  </si>
  <si>
    <t>DURSUNBEY</t>
  </si>
  <si>
    <t>ULUS</t>
  </si>
  <si>
    <t>TOSYA</t>
  </si>
  <si>
    <t>KIRKLARELİ</t>
  </si>
  <si>
    <t>POZANTI</t>
  </si>
  <si>
    <t>KORKUTELİ</t>
  </si>
  <si>
    <t>MERZİFON</t>
  </si>
  <si>
    <t>AĞRI</t>
  </si>
  <si>
    <t>ARDAHAN</t>
  </si>
  <si>
    <t>BAYBURT</t>
  </si>
  <si>
    <t>BİTLİS</t>
  </si>
  <si>
    <t>MUŞ</t>
  </si>
  <si>
    <t>KELES</t>
  </si>
  <si>
    <t>MESUDİYE</t>
  </si>
  <si>
    <t>ULUDAĞ</t>
  </si>
  <si>
    <t>AFŞİN</t>
  </si>
  <si>
    <t>GÖKSUN</t>
  </si>
  <si>
    <t>KIĞI</t>
  </si>
  <si>
    <t>PÜLÜMÜR</t>
  </si>
  <si>
    <t>SOLHAN</t>
  </si>
  <si>
    <t>Ş.KARAHİSAR</t>
  </si>
  <si>
    <t>ELBİSTAN</t>
  </si>
  <si>
    <t>GÜMÜŞHANE</t>
  </si>
  <si>
    <t xml:space="preserve">KIŞ </t>
  </si>
  <si>
    <t>İSTANBUL</t>
  </si>
  <si>
    <t>TÜRKİYE İL-İLÇE. KIŞ-YAZ SICAKLIK-BÖLGE TABLOSU</t>
  </si>
  <si>
    <t>Bölge</t>
  </si>
  <si>
    <t>Böl
ge</t>
  </si>
  <si>
    <t>Binanın
 Teshin ihtiyacı</t>
  </si>
  <si>
    <t>Binanın
 Enerji İhtiyac K.</t>
  </si>
  <si>
    <t>Binanın 
 Enerji İhtiyac K.</t>
  </si>
  <si>
    <t>BÖLGE " S","C", "Kdd" KATSAYILARI</t>
  </si>
  <si>
    <t>Dış Duvar
ısı iletim
Katsayısı</t>
  </si>
  <si>
    <r>
      <t>S</t>
    </r>
    <r>
      <rPr>
        <sz val="10"/>
        <rFont val="Arial Tur"/>
        <family val="0"/>
      </rPr>
      <t xml:space="preserve">
Isı Kaybı
Katsayısı</t>
    </r>
  </si>
  <si>
    <r>
      <t>C</t>
    </r>
    <r>
      <rPr>
        <sz val="10"/>
        <rFont val="Arial Tur"/>
        <family val="0"/>
      </rPr>
      <t xml:space="preserve">
Cam Alanı
Katsayısı</t>
    </r>
  </si>
  <si>
    <r>
      <t>Kdd</t>
    </r>
    <r>
      <rPr>
        <sz val="10"/>
        <rFont val="Arial Tur"/>
        <family val="0"/>
      </rPr>
      <t xml:space="preserve">
(W/m2.K)</t>
    </r>
  </si>
  <si>
    <t>GLOBAL (MİKRO-MAKRO)  ISI KAYBI HESABI</t>
  </si>
  <si>
    <t xml:space="preserve">S </t>
  </si>
  <si>
    <t xml:space="preserve">C </t>
  </si>
  <si>
    <t>SOĞUTMA YÜKÜ  HESABI</t>
  </si>
  <si>
    <t>Qgünrad</t>
  </si>
  <si>
    <t xml:space="preserve">Soğ.
Yükü Tipi
</t>
  </si>
  <si>
    <t>D</t>
  </si>
  <si>
    <r>
      <t>W/m</t>
    </r>
    <r>
      <rPr>
        <sz val="10"/>
        <rFont val="Arial"/>
        <family val="2"/>
      </rPr>
      <t>²</t>
    </r>
  </si>
  <si>
    <t>Isı Kazancı 
40 Kuzey Enlemi</t>
  </si>
  <si>
    <t>KD-GD</t>
  </si>
  <si>
    <t>B</t>
  </si>
  <si>
    <t>KB-GB</t>
  </si>
  <si>
    <t>G</t>
  </si>
  <si>
    <t>K</t>
  </si>
  <si>
    <t>Gölgeleme
Faktörü</t>
  </si>
  <si>
    <t>Eşdeğer Sıcaklık
Farkları</t>
  </si>
  <si>
    <t>W</t>
  </si>
  <si>
    <t>Toplam Soğutma İhtiyacı</t>
  </si>
  <si>
    <t>Qçatı</t>
  </si>
  <si>
    <t>Qduvkonv</t>
  </si>
  <si>
    <r>
      <t>m</t>
    </r>
    <r>
      <rPr>
        <sz val="10"/>
        <rFont val="Arial"/>
        <family val="2"/>
      </rPr>
      <t>²ºK</t>
    </r>
  </si>
  <si>
    <t>B-GB</t>
  </si>
  <si>
    <t>G-KB</t>
  </si>
  <si>
    <t xml:space="preserve">KD-D
GD-K </t>
  </si>
  <si>
    <t>Qpenkonv</t>
  </si>
  <si>
    <t>N01-Oda-20 C</t>
  </si>
  <si>
    <t>Qinsan</t>
  </si>
  <si>
    <t xml:space="preserve">Isı Kazancı 
</t>
  </si>
  <si>
    <t>W/
kişi</t>
  </si>
  <si>
    <t>Kişi Sayısı</t>
  </si>
  <si>
    <t>Okul,Tiy</t>
  </si>
  <si>
    <t>Konut</t>
  </si>
  <si>
    <t>Banka</t>
  </si>
  <si>
    <t>Ofis,Mağ
Otel,Dük</t>
  </si>
  <si>
    <t>Restau</t>
  </si>
  <si>
    <t>Bar,Disk</t>
  </si>
  <si>
    <t>Qaydınl</t>
  </si>
  <si>
    <t>Mağaza,
Şovrum</t>
  </si>
  <si>
    <t>A(m2)</t>
  </si>
  <si>
    <t>h(m)</t>
  </si>
  <si>
    <t xml:space="preserve"> </t>
  </si>
  <si>
    <t>Qmotor</t>
  </si>
  <si>
    <t>Eelektrik Motoru
Isı Kazancı</t>
  </si>
  <si>
    <t>Qhavalan</t>
  </si>
  <si>
    <t>Taze Hava
Miktarı</t>
  </si>
  <si>
    <t>m3/h</t>
  </si>
  <si>
    <t xml:space="preserve">Bar </t>
  </si>
  <si>
    <t>Topl .S.</t>
  </si>
  <si>
    <t>Ofis</t>
  </si>
  <si>
    <t>Sınıf</t>
  </si>
  <si>
    <t>Spor S.</t>
  </si>
  <si>
    <t>Artırım kats(S46/S44)</t>
  </si>
  <si>
    <t>Soğutma Yükü Hesabı</t>
  </si>
  <si>
    <t>NK</t>
  </si>
  <si>
    <t>No</t>
  </si>
  <si>
    <t xml:space="preserve">Mahal </t>
  </si>
  <si>
    <t>Oda</t>
  </si>
  <si>
    <t>bk</t>
  </si>
  <si>
    <t>6.1-</t>
  </si>
  <si>
    <t>Qp</t>
  </si>
  <si>
    <t>L</t>
  </si>
  <si>
    <t>Hm</t>
  </si>
  <si>
    <t>Qc
kcal/h</t>
  </si>
  <si>
    <t>Isıt-Soğ
B.Çapı</t>
  </si>
  <si>
    <t>KRİTİK DEVRE BORU ÇAPI TAYİNİ</t>
  </si>
  <si>
    <t>Qtopl</t>
  </si>
  <si>
    <t>*Soğ yükü(kcal/h)</t>
  </si>
  <si>
    <t>Sog. Boru Çapı(mm)</t>
  </si>
  <si>
    <t>Seçilen
Sog. Boru Çapı(mm)</t>
  </si>
  <si>
    <t>6.2-</t>
  </si>
  <si>
    <t>6.3-</t>
  </si>
  <si>
    <t>6.4-</t>
  </si>
  <si>
    <t>6.5-</t>
  </si>
  <si>
    <t>GEA-1</t>
  </si>
  <si>
    <t>GEA-3</t>
  </si>
  <si>
    <t>GEA-2</t>
  </si>
  <si>
    <t>GEA-4</t>
  </si>
  <si>
    <t>GEA-5</t>
  </si>
  <si>
    <t>GEA-6</t>
  </si>
  <si>
    <t>GEA-7</t>
  </si>
  <si>
    <t>Va(Lt)</t>
  </si>
  <si>
    <t>6.6-BÜZÜŞME TANKI HESABI</t>
  </si>
  <si>
    <t>Pm(bar)</t>
  </si>
  <si>
    <t>Psv(bar)</t>
  </si>
  <si>
    <t>Pf(bar)</t>
  </si>
  <si>
    <t>Ve(Lt)</t>
  </si>
  <si>
    <t>A(%)</t>
  </si>
  <si>
    <t>R(%)</t>
  </si>
  <si>
    <t>Df(%)</t>
  </si>
  <si>
    <t>V(Lt)</t>
  </si>
  <si>
    <t>6-Paket Soğ.Ünitesi</t>
  </si>
  <si>
    <t>Ac
(m2)</t>
  </si>
  <si>
    <t>Resta,
Kafe</t>
  </si>
  <si>
    <t>Süper
market</t>
  </si>
  <si>
    <t>Kütüphan</t>
  </si>
  <si>
    <t>Berber,
Kuaför</t>
  </si>
  <si>
    <t>Su Soğ.
Grubu
Aldağ</t>
  </si>
  <si>
    <t>H 
kot farkı
(m)</t>
  </si>
  <si>
    <t xml:space="preserve"> T.Soğ.Yükü İhtiyacı
(kcal/h)</t>
  </si>
  <si>
    <t xml:space="preserve"> T.Soğ.Yükü İhtiyacı
(W)</t>
  </si>
  <si>
    <t>Mağaza
Şovrum</t>
  </si>
  <si>
    <t>*Krit 
 Devre
 Uzunl
(m)</t>
  </si>
  <si>
    <t>Pompa
Debisi
(m3/h)</t>
  </si>
  <si>
    <t>Pomp Basma
 Yüks
(mss)</t>
  </si>
  <si>
    <t>Fancoil
Cihazı
2 borulu</t>
  </si>
  <si>
    <t>Q soğutm
Qc-kw</t>
  </si>
  <si>
    <t>Q soğutma
Qc
kcal/h</t>
  </si>
  <si>
    <t>Su Soğut
kcal/h</t>
  </si>
  <si>
    <t>Hava Soğut
kcal/h</t>
  </si>
  <si>
    <t>Ofis,
Topl
Salonu</t>
  </si>
  <si>
    <t>Spor
 Sal</t>
  </si>
  <si>
    <t>Yoğ
 B
 Çapı</t>
  </si>
  <si>
    <t>pen-1</t>
  </si>
  <si>
    <t>pen-2</t>
  </si>
  <si>
    <t>pen-3</t>
  </si>
  <si>
    <t>pen-4</t>
  </si>
  <si>
    <t>pen-5</t>
  </si>
  <si>
    <t>pen-6</t>
  </si>
  <si>
    <t>çatı-1</t>
  </si>
  <si>
    <t>dd-1</t>
  </si>
  <si>
    <t>dd-2</t>
  </si>
  <si>
    <t>dd-3</t>
  </si>
  <si>
    <t>penk-1</t>
  </si>
  <si>
    <t>ins-1</t>
  </si>
  <si>
    <t>ins-2</t>
  </si>
  <si>
    <t>ins-3</t>
  </si>
  <si>
    <t>ins-4</t>
  </si>
  <si>
    <t>ins-5</t>
  </si>
  <si>
    <t>ins-6</t>
  </si>
  <si>
    <t>ins-7</t>
  </si>
  <si>
    <t>ayd-1</t>
  </si>
  <si>
    <t>ayd-2</t>
  </si>
  <si>
    <t>ayd-3</t>
  </si>
  <si>
    <t>m-1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</si>
  <si>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</si>
  <si>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</si>
  <si>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</si>
  <si>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</si>
  <si>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</si>
  <si>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</si>
  <si>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</si>
  <si>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</si>
  <si>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</si>
  <si>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</si>
  <si>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Td-( C )</t>
  </si>
  <si>
    <t>Ti-( C )</t>
  </si>
  <si>
    <t>Ti-Td</t>
  </si>
  <si>
    <t>Ampirik Model-1
Topl. Soğutma İhtiyacı kcal/h</t>
  </si>
  <si>
    <t>AMPİRİK SOĞUTMA YÜKÜ HESABI-Model1/Model-2</t>
  </si>
  <si>
    <t>Ampirik Model-2 Topl. Soğutma İhtiyacı kcal/h</t>
  </si>
  <si>
    <t>M2/ Soğutma Yükü Yoğunluğu(kcal/h.m2)</t>
  </si>
  <si>
    <t xml:space="preserve"> M-1/Soğutma Yükü Yoğunluğu(kcal/h.m2)</t>
  </si>
  <si>
    <t>Td=</t>
  </si>
  <si>
    <t>2,5 Bar Açma Basınç Memb.Emn.Vent</t>
  </si>
  <si>
    <t>Seçilen Memb.Emn.Ventili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</si>
</sst>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?/2"/>
    <numFmt numFmtId="182" formatCode="0.000"/>
    <numFmt numFmtId="183" formatCode="[$-41F]dd\ mmmm\ yyyy\ dddd"/>
    <numFmt numFmtId="184" formatCode="000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</numFmts>
  <fonts count="53">
    <font>
      <sz val="10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34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81" fontId="6" fillId="35" borderId="10" xfId="0" applyNumberFormat="1" applyFon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 applyProtection="1">
      <alignment horizontal="center" vertical="top" wrapText="1"/>
      <protection/>
    </xf>
    <xf numFmtId="0" fontId="13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 applyProtection="1">
      <alignment horizontal="center" vertical="top" wrapText="1"/>
      <protection/>
    </xf>
    <xf numFmtId="0" fontId="13" fillId="36" borderId="10" xfId="0" applyFont="1" applyFill="1" applyBorder="1" applyAlignment="1">
      <alignment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180" fontId="0" fillId="33" borderId="10" xfId="0" applyNumberForma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" fontId="0" fillId="34" borderId="10" xfId="0" applyNumberForma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80" fontId="0" fillId="36" borderId="10" xfId="0" applyNumberForma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35" borderId="10" xfId="0" applyNumberForma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1" fontId="0" fillId="37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81" fontId="8" fillId="34" borderId="10" xfId="0" applyNumberFormat="1" applyFont="1" applyFill="1" applyBorder="1" applyAlignment="1">
      <alignment horizontal="center"/>
    </xf>
    <xf numFmtId="181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 vertical="center"/>
    </xf>
    <xf numFmtId="180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vertical="top" wrapText="1"/>
    </xf>
    <xf numFmtId="1" fontId="10" fillId="0" borderId="18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180" fontId="5" fillId="36" borderId="1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" fontId="0" fillId="40" borderId="10" xfId="0" applyNumberFormat="1" applyFill="1" applyBorder="1" applyAlignment="1">
      <alignment horizontal="center" vertical="center"/>
    </xf>
    <xf numFmtId="180" fontId="0" fillId="38" borderId="10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0" fillId="19" borderId="10" xfId="0" applyNumberFormat="1" applyFill="1" applyBorder="1" applyAlignment="1">
      <alignment horizontal="center" vertical="center"/>
    </xf>
    <xf numFmtId="180" fontId="0" fillId="41" borderId="10" xfId="0" applyNumberForma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 textRotation="90"/>
    </xf>
    <xf numFmtId="0" fontId="0" fillId="39" borderId="20" xfId="0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 vertical="top" wrapText="1"/>
    </xf>
    <xf numFmtId="0" fontId="17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0" fillId="33" borderId="11" xfId="0" applyFont="1" applyFill="1" applyBorder="1" applyAlignment="1">
      <alignment vertical="top" wrapText="1"/>
    </xf>
    <xf numFmtId="0" fontId="15" fillId="33" borderId="11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37" borderId="10" xfId="0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1" fontId="6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180" fontId="0" fillId="43" borderId="15" xfId="0" applyNumberFormat="1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0"/>
  <sheetViews>
    <sheetView tabSelected="1" zoomScalePageLayoutView="0" workbookViewId="0" topLeftCell="A1">
      <selection activeCell="Z48" sqref="Z48"/>
    </sheetView>
  </sheetViews>
  <sheetFormatPr defaultColWidth="9.125" defaultRowHeight="15" customHeight="1"/>
  <cols>
    <col min="1" max="1" width="8.625" style="1" customWidth="1"/>
    <col min="2" max="2" width="7.00390625" style="1" customWidth="1"/>
    <col min="3" max="3" width="10.875" style="1" customWidth="1"/>
    <col min="4" max="4" width="9.625" style="1" customWidth="1"/>
    <col min="5" max="5" width="7.125" style="1" customWidth="1"/>
    <col min="6" max="6" width="4.625" style="1" customWidth="1"/>
    <col min="7" max="7" width="5.375" style="1" customWidth="1"/>
    <col min="8" max="9" width="4.625" style="1" customWidth="1"/>
    <col min="10" max="10" width="4.375" style="1" customWidth="1"/>
    <col min="11" max="11" width="5.00390625" style="1" customWidth="1"/>
    <col min="12" max="12" width="4.375" style="1" customWidth="1"/>
    <col min="13" max="13" width="5.00390625" style="1" customWidth="1"/>
    <col min="14" max="14" width="4.50390625" style="1" customWidth="1"/>
    <col min="15" max="15" width="3.375" style="1" customWidth="1"/>
    <col min="16" max="16" width="4.00390625" style="1" customWidth="1"/>
    <col min="17" max="17" width="3.875" style="1" customWidth="1"/>
    <col min="18" max="18" width="5.50390625" style="1" customWidth="1"/>
    <col min="19" max="19" width="4.625" style="1" customWidth="1"/>
    <col min="20" max="20" width="8.625" style="1" customWidth="1"/>
    <col min="21" max="21" width="3.875" style="1" customWidth="1"/>
    <col min="22" max="22" width="9.125" style="1" hidden="1" customWidth="1"/>
    <col min="23" max="23" width="3.875" style="1" customWidth="1"/>
    <col min="24" max="24" width="4.50390625" style="1" customWidth="1"/>
    <col min="25" max="25" width="3.625" style="1" customWidth="1"/>
    <col min="26" max="26" width="11.375" style="1" customWidth="1"/>
    <col min="27" max="28" width="4.50390625" style="1" customWidth="1"/>
    <col min="29" max="29" width="3.50390625" style="1" customWidth="1"/>
    <col min="30" max="30" width="9.125" style="1" customWidth="1"/>
    <col min="31" max="31" width="1.4921875" style="1" customWidth="1"/>
    <col min="32" max="32" width="3.625" style="1" customWidth="1"/>
    <col min="33" max="33" width="5.00390625" style="1" customWidth="1"/>
    <col min="34" max="34" width="4.625" style="1" customWidth="1"/>
    <col min="35" max="35" width="9.125" style="1" customWidth="1"/>
    <col min="36" max="36" width="4.375" style="1" customWidth="1"/>
    <col min="37" max="37" width="4.50390625" style="1" customWidth="1"/>
    <col min="38" max="38" width="3.875" style="1" customWidth="1"/>
    <col min="39" max="16384" width="9.125" style="1" customWidth="1"/>
  </cols>
  <sheetData>
    <row r="1" spans="1:24" ht="15" customHeight="1">
      <c r="A1" s="159" t="s">
        <v>195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58" t="s">
        <v>16</v>
      </c>
      <c r="S1" s="158"/>
      <c r="T1" s="6">
        <v>1</v>
      </c>
      <c r="X1" s="22"/>
    </row>
    <row r="2" spans="1:2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58" t="s">
        <v>17</v>
      </c>
      <c r="S2" s="158"/>
      <c r="T2" s="6" t="s">
        <v>245</v>
      </c>
      <c r="X2" s="22"/>
    </row>
    <row r="3" spans="1:24" ht="15" customHeight="1">
      <c r="A3" s="153" t="s">
        <v>21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8" t="s">
        <v>18</v>
      </c>
      <c r="S3" s="158"/>
      <c r="T3" s="6"/>
      <c r="X3" s="22"/>
    </row>
    <row r="4" spans="1:24" ht="15" customHeight="1">
      <c r="A4" s="153" t="s">
        <v>11</v>
      </c>
      <c r="B4" s="153"/>
      <c r="C4" s="153"/>
      <c r="D4" s="153"/>
      <c r="E4" s="153"/>
      <c r="F4" s="153" t="s">
        <v>12</v>
      </c>
      <c r="G4" s="153"/>
      <c r="H4" s="153"/>
      <c r="I4" s="153"/>
      <c r="J4" s="153"/>
      <c r="K4" s="205" t="s">
        <v>244</v>
      </c>
      <c r="L4" s="206"/>
      <c r="M4" s="206"/>
      <c r="N4" s="206"/>
      <c r="O4" s="206"/>
      <c r="P4" s="206"/>
      <c r="Q4" s="206"/>
      <c r="R4" s="206"/>
      <c r="S4" s="206"/>
      <c r="T4" s="151" t="s">
        <v>209</v>
      </c>
      <c r="X4" s="22"/>
    </row>
    <row r="5" spans="1:24" ht="15" customHeight="1">
      <c r="A5" s="152" t="s">
        <v>0</v>
      </c>
      <c r="B5" s="152" t="s">
        <v>246</v>
      </c>
      <c r="C5" s="151" t="s">
        <v>197</v>
      </c>
      <c r="D5" s="208" t="s">
        <v>1</v>
      </c>
      <c r="E5" s="152" t="s">
        <v>2</v>
      </c>
      <c r="F5" s="152" t="s">
        <v>4</v>
      </c>
      <c r="G5" s="151" t="s">
        <v>5</v>
      </c>
      <c r="H5" s="152" t="s">
        <v>6</v>
      </c>
      <c r="I5" s="152" t="s">
        <v>7</v>
      </c>
      <c r="J5" s="152" t="s">
        <v>9</v>
      </c>
      <c r="K5" s="151" t="s">
        <v>10</v>
      </c>
      <c r="L5" s="151" t="s">
        <v>200</v>
      </c>
      <c r="M5" s="151" t="s">
        <v>206</v>
      </c>
      <c r="N5" s="151" t="s">
        <v>13</v>
      </c>
      <c r="O5" s="151" t="s">
        <v>207</v>
      </c>
      <c r="P5" s="151" t="s">
        <v>219</v>
      </c>
      <c r="Q5" s="151" t="s">
        <v>221</v>
      </c>
      <c r="R5" s="151" t="s">
        <v>234</v>
      </c>
      <c r="S5" s="151" t="s">
        <v>236</v>
      </c>
      <c r="T5" s="151"/>
      <c r="X5" s="22"/>
    </row>
    <row r="6" spans="1:24" ht="15" customHeight="1">
      <c r="A6" s="153"/>
      <c r="B6" s="153"/>
      <c r="C6" s="153"/>
      <c r="D6" s="149"/>
      <c r="E6" s="153"/>
      <c r="F6" s="153"/>
      <c r="G6" s="154"/>
      <c r="H6" s="153"/>
      <c r="I6" s="153"/>
      <c r="J6" s="153"/>
      <c r="K6" s="154"/>
      <c r="L6" s="154"/>
      <c r="M6" s="154"/>
      <c r="N6" s="154"/>
      <c r="O6" s="154"/>
      <c r="P6" s="154"/>
      <c r="Q6" s="154"/>
      <c r="R6" s="154"/>
      <c r="S6" s="154"/>
      <c r="T6" s="151"/>
      <c r="X6" s="22"/>
    </row>
    <row r="7" spans="1:30" ht="15" customHeight="1">
      <c r="A7" s="153"/>
      <c r="B7" s="153"/>
      <c r="C7" s="153"/>
      <c r="D7" s="149"/>
      <c r="E7" s="153"/>
      <c r="F7" s="153"/>
      <c r="G7" s="154"/>
      <c r="H7" s="153"/>
      <c r="I7" s="153"/>
      <c r="J7" s="153"/>
      <c r="K7" s="154"/>
      <c r="L7" s="154"/>
      <c r="M7" s="154"/>
      <c r="N7" s="154"/>
      <c r="O7" s="154"/>
      <c r="P7" s="154"/>
      <c r="Q7" s="154"/>
      <c r="R7" s="154"/>
      <c r="S7" s="154"/>
      <c r="T7" s="151"/>
      <c r="X7" s="22"/>
      <c r="Z7" s="50"/>
      <c r="AD7" s="50"/>
    </row>
    <row r="8" spans="1:26" ht="15" customHeight="1">
      <c r="A8" s="153"/>
      <c r="B8" s="153"/>
      <c r="C8" s="153"/>
      <c r="D8" s="149"/>
      <c r="E8" s="153"/>
      <c r="F8" s="153"/>
      <c r="G8" s="154"/>
      <c r="H8" s="153"/>
      <c r="I8" s="153"/>
      <c r="J8" s="153"/>
      <c r="K8" s="154"/>
      <c r="L8" s="154"/>
      <c r="M8" s="154"/>
      <c r="N8" s="154"/>
      <c r="O8" s="154"/>
      <c r="P8" s="154"/>
      <c r="Q8" s="154"/>
      <c r="R8" s="154"/>
      <c r="S8" s="154"/>
      <c r="T8" s="151"/>
      <c r="X8" s="22"/>
      <c r="Z8" s="50"/>
    </row>
    <row r="9" spans="1:24" ht="36.75" customHeight="1">
      <c r="A9" s="153"/>
      <c r="B9" s="153"/>
      <c r="C9" s="153"/>
      <c r="D9" s="150"/>
      <c r="E9" s="153"/>
      <c r="F9" s="153"/>
      <c r="G9" s="154"/>
      <c r="H9" s="153"/>
      <c r="I9" s="153"/>
      <c r="J9" s="153"/>
      <c r="K9" s="154"/>
      <c r="L9" s="154"/>
      <c r="M9" s="154"/>
      <c r="N9" s="154"/>
      <c r="O9" s="154"/>
      <c r="P9" s="154"/>
      <c r="Q9" s="154"/>
      <c r="R9" s="154"/>
      <c r="S9" s="154"/>
      <c r="T9" s="151"/>
      <c r="U9" s="10"/>
      <c r="V9" s="10"/>
      <c r="X9" s="22"/>
    </row>
    <row r="10" spans="1:24" ht="15" customHeight="1">
      <c r="A10" s="153"/>
      <c r="B10" s="153"/>
      <c r="C10" s="153"/>
      <c r="D10" s="190"/>
      <c r="E10" s="153" t="s">
        <v>3</v>
      </c>
      <c r="F10" s="153" t="s">
        <v>22</v>
      </c>
      <c r="G10" s="153" t="s">
        <v>22</v>
      </c>
      <c r="H10" s="153" t="s">
        <v>14</v>
      </c>
      <c r="I10" s="153" t="s">
        <v>8</v>
      </c>
      <c r="J10" s="153" t="s">
        <v>14</v>
      </c>
      <c r="K10" s="153" t="s">
        <v>14</v>
      </c>
      <c r="L10" s="153" t="s">
        <v>199</v>
      </c>
      <c r="M10" s="153"/>
      <c r="N10" s="6" t="s">
        <v>208</v>
      </c>
      <c r="O10" s="193" t="s">
        <v>15</v>
      </c>
      <c r="P10" s="154" t="s">
        <v>220</v>
      </c>
      <c r="Q10" s="193"/>
      <c r="R10" s="193" t="s">
        <v>208</v>
      </c>
      <c r="S10" s="193" t="s">
        <v>237</v>
      </c>
      <c r="T10" s="153" t="s">
        <v>208</v>
      </c>
      <c r="X10" s="22"/>
    </row>
    <row r="11" spans="1:24" ht="15" customHeight="1">
      <c r="A11" s="153"/>
      <c r="B11" s="153"/>
      <c r="C11" s="153"/>
      <c r="D11" s="191"/>
      <c r="E11" s="153"/>
      <c r="F11" s="153"/>
      <c r="G11" s="153"/>
      <c r="H11" s="153"/>
      <c r="I11" s="153"/>
      <c r="J11" s="153"/>
      <c r="K11" s="153"/>
      <c r="L11" s="153"/>
      <c r="M11" s="153"/>
      <c r="N11" s="6" t="s">
        <v>212</v>
      </c>
      <c r="O11" s="153"/>
      <c r="P11" s="153"/>
      <c r="Q11" s="153"/>
      <c r="R11" s="153"/>
      <c r="S11" s="153"/>
      <c r="T11" s="153"/>
      <c r="X11" s="22"/>
    </row>
    <row r="12" spans="1:24" ht="15" customHeight="1">
      <c r="A12" s="147" t="s">
        <v>217</v>
      </c>
      <c r="B12" s="76" t="s">
        <v>304</v>
      </c>
      <c r="C12" s="5" t="s">
        <v>196</v>
      </c>
      <c r="D12" s="5" t="s">
        <v>198</v>
      </c>
      <c r="E12" s="2" t="s">
        <v>19</v>
      </c>
      <c r="F12" s="42">
        <v>1.5</v>
      </c>
      <c r="G12" s="42">
        <v>1.3</v>
      </c>
      <c r="H12" s="7">
        <f aca="true" t="shared" si="0" ref="H12:H22">F12*G12</f>
        <v>1.9500000000000002</v>
      </c>
      <c r="I12" s="4">
        <v>1</v>
      </c>
      <c r="J12" s="3"/>
      <c r="K12" s="7">
        <f aca="true" t="shared" si="1" ref="K12:K18">H12*I12</f>
        <v>1.9500000000000002</v>
      </c>
      <c r="L12" s="71">
        <v>500</v>
      </c>
      <c r="M12" s="19">
        <v>0.65</v>
      </c>
      <c r="N12" s="73"/>
      <c r="O12" s="73"/>
      <c r="P12" s="49"/>
      <c r="Q12" s="49"/>
      <c r="R12" s="48"/>
      <c r="S12" s="49"/>
      <c r="T12" s="46">
        <f aca="true" t="shared" si="2" ref="T12:T17">K12*L12*M12</f>
        <v>633.7500000000001</v>
      </c>
      <c r="X12" s="22"/>
    </row>
    <row r="13" spans="1:24" ht="15" customHeight="1">
      <c r="A13" s="148"/>
      <c r="B13" s="76" t="s">
        <v>305</v>
      </c>
      <c r="C13" s="5" t="s">
        <v>196</v>
      </c>
      <c r="D13" s="5" t="s">
        <v>201</v>
      </c>
      <c r="E13" s="2" t="s">
        <v>19</v>
      </c>
      <c r="F13" s="42">
        <v>1.5</v>
      </c>
      <c r="G13" s="42">
        <v>1.3</v>
      </c>
      <c r="H13" s="7">
        <f t="shared" si="0"/>
        <v>1.9500000000000002</v>
      </c>
      <c r="I13" s="4">
        <v>1</v>
      </c>
      <c r="J13" s="3"/>
      <c r="K13" s="7">
        <f t="shared" si="1"/>
        <v>1.9500000000000002</v>
      </c>
      <c r="L13" s="71">
        <v>350</v>
      </c>
      <c r="M13" s="19">
        <v>0.65</v>
      </c>
      <c r="N13" s="73"/>
      <c r="O13" s="73"/>
      <c r="P13" s="49"/>
      <c r="Q13" s="49"/>
      <c r="R13" s="48"/>
      <c r="S13" s="49"/>
      <c r="T13" s="46">
        <f t="shared" si="2"/>
        <v>443.6250000000001</v>
      </c>
      <c r="X13" s="22"/>
    </row>
    <row r="14" spans="1:24" ht="15" customHeight="1">
      <c r="A14" s="148"/>
      <c r="B14" s="76" t="s">
        <v>306</v>
      </c>
      <c r="C14" s="5" t="s">
        <v>196</v>
      </c>
      <c r="D14" s="5" t="s">
        <v>202</v>
      </c>
      <c r="E14" s="2" t="s">
        <v>19</v>
      </c>
      <c r="F14" s="42">
        <v>1.5</v>
      </c>
      <c r="G14" s="42">
        <v>1.3</v>
      </c>
      <c r="H14" s="7">
        <f t="shared" si="0"/>
        <v>1.9500000000000002</v>
      </c>
      <c r="I14" s="4">
        <v>1</v>
      </c>
      <c r="J14" s="3"/>
      <c r="K14" s="7">
        <f t="shared" si="1"/>
        <v>1.9500000000000002</v>
      </c>
      <c r="L14" s="71">
        <v>500</v>
      </c>
      <c r="M14" s="19">
        <v>0.65</v>
      </c>
      <c r="N14" s="73"/>
      <c r="O14" s="73"/>
      <c r="P14" s="49"/>
      <c r="Q14" s="49"/>
      <c r="R14" s="48"/>
      <c r="S14" s="49"/>
      <c r="T14" s="46">
        <f t="shared" si="2"/>
        <v>633.7500000000001</v>
      </c>
      <c r="X14" s="22"/>
    </row>
    <row r="15" spans="1:24" ht="15" customHeight="1">
      <c r="A15" s="148"/>
      <c r="B15" s="76" t="s">
        <v>307</v>
      </c>
      <c r="C15" s="5" t="s">
        <v>196</v>
      </c>
      <c r="D15" s="5" t="s">
        <v>203</v>
      </c>
      <c r="E15" s="2" t="s">
        <v>19</v>
      </c>
      <c r="F15" s="42">
        <v>1.5</v>
      </c>
      <c r="G15" s="42">
        <v>1.3</v>
      </c>
      <c r="H15" s="7">
        <f t="shared" si="0"/>
        <v>1.9500000000000002</v>
      </c>
      <c r="I15" s="4">
        <v>1</v>
      </c>
      <c r="J15" s="3"/>
      <c r="K15" s="7">
        <f t="shared" si="1"/>
        <v>1.9500000000000002</v>
      </c>
      <c r="L15" s="71">
        <v>350</v>
      </c>
      <c r="M15" s="19">
        <v>0.65</v>
      </c>
      <c r="N15" s="73"/>
      <c r="O15" s="73"/>
      <c r="P15" s="49"/>
      <c r="Q15" s="49"/>
      <c r="R15" s="48"/>
      <c r="S15" s="49"/>
      <c r="T15" s="46">
        <f t="shared" si="2"/>
        <v>443.6250000000001</v>
      </c>
      <c r="X15" s="22"/>
    </row>
    <row r="16" spans="1:24" ht="15" customHeight="1">
      <c r="A16" s="148"/>
      <c r="B16" s="76" t="s">
        <v>308</v>
      </c>
      <c r="C16" s="5" t="s">
        <v>196</v>
      </c>
      <c r="D16" s="5" t="s">
        <v>204</v>
      </c>
      <c r="E16" s="2" t="s">
        <v>19</v>
      </c>
      <c r="F16" s="42">
        <v>1.5</v>
      </c>
      <c r="G16" s="42">
        <v>1.3</v>
      </c>
      <c r="H16" s="7">
        <f t="shared" si="0"/>
        <v>1.9500000000000002</v>
      </c>
      <c r="I16" s="4">
        <v>1</v>
      </c>
      <c r="J16" s="3"/>
      <c r="K16" s="7">
        <f t="shared" si="1"/>
        <v>1.9500000000000002</v>
      </c>
      <c r="L16" s="71">
        <v>200</v>
      </c>
      <c r="M16" s="19">
        <v>0.65</v>
      </c>
      <c r="N16" s="73"/>
      <c r="O16" s="73"/>
      <c r="P16" s="49"/>
      <c r="Q16" s="49"/>
      <c r="R16" s="48"/>
      <c r="S16" s="49"/>
      <c r="T16" s="46">
        <f t="shared" si="2"/>
        <v>253.50000000000006</v>
      </c>
      <c r="X16" s="22"/>
    </row>
    <row r="17" spans="1:24" ht="15" customHeight="1">
      <c r="A17" s="148"/>
      <c r="B17" s="76" t="s">
        <v>309</v>
      </c>
      <c r="C17" s="5" t="s">
        <v>196</v>
      </c>
      <c r="D17" s="5" t="s">
        <v>205</v>
      </c>
      <c r="E17" s="2" t="s">
        <v>19</v>
      </c>
      <c r="F17" s="42">
        <v>1.5</v>
      </c>
      <c r="G17" s="42">
        <v>1.3</v>
      </c>
      <c r="H17" s="7">
        <f t="shared" si="0"/>
        <v>1.9500000000000002</v>
      </c>
      <c r="I17" s="4">
        <v>1</v>
      </c>
      <c r="J17" s="3"/>
      <c r="K17" s="7">
        <f t="shared" si="1"/>
        <v>1.9500000000000002</v>
      </c>
      <c r="L17" s="71">
        <v>50</v>
      </c>
      <c r="M17" s="19">
        <v>0.65</v>
      </c>
      <c r="N17" s="73"/>
      <c r="O17" s="73"/>
      <c r="P17" s="49"/>
      <c r="Q17" s="49"/>
      <c r="R17" s="48"/>
      <c r="S17" s="49"/>
      <c r="T17" s="46">
        <f t="shared" si="2"/>
        <v>63.375000000000014</v>
      </c>
      <c r="X17" s="22"/>
    </row>
    <row r="18" spans="1:24" ht="15" customHeight="1">
      <c r="A18" s="149"/>
      <c r="B18" s="76" t="s">
        <v>310</v>
      </c>
      <c r="C18" s="5" t="s">
        <v>210</v>
      </c>
      <c r="D18" s="5"/>
      <c r="E18" s="2" t="s">
        <v>19</v>
      </c>
      <c r="F18" s="42">
        <v>4</v>
      </c>
      <c r="G18" s="42">
        <v>4</v>
      </c>
      <c r="H18" s="12">
        <f t="shared" si="0"/>
        <v>16</v>
      </c>
      <c r="I18" s="4">
        <v>1</v>
      </c>
      <c r="J18" s="3"/>
      <c r="K18" s="12">
        <f t="shared" si="1"/>
        <v>16</v>
      </c>
      <c r="L18" s="64"/>
      <c r="M18" s="64"/>
      <c r="N18" s="19">
        <v>0.4</v>
      </c>
      <c r="O18" s="71">
        <v>10</v>
      </c>
      <c r="P18" s="49"/>
      <c r="Q18" s="49"/>
      <c r="R18" s="49"/>
      <c r="S18" s="49"/>
      <c r="T18" s="46">
        <f>K18*N18*O18</f>
        <v>64</v>
      </c>
      <c r="X18" s="22"/>
    </row>
    <row r="19" spans="1:24" ht="24.75" customHeight="1">
      <c r="A19" s="149"/>
      <c r="B19" s="76" t="s">
        <v>311</v>
      </c>
      <c r="C19" s="5" t="s">
        <v>211</v>
      </c>
      <c r="D19" s="72" t="s">
        <v>215</v>
      </c>
      <c r="E19" s="2" t="s">
        <v>19</v>
      </c>
      <c r="F19" s="42">
        <v>4</v>
      </c>
      <c r="G19" s="42">
        <v>3</v>
      </c>
      <c r="H19" s="12">
        <f t="shared" si="0"/>
        <v>12</v>
      </c>
      <c r="I19" s="4">
        <v>1</v>
      </c>
      <c r="J19" s="73"/>
      <c r="K19" s="12">
        <f>H19-J19</f>
        <v>12</v>
      </c>
      <c r="L19" s="64"/>
      <c r="M19" s="64"/>
      <c r="N19" s="19">
        <v>0.5</v>
      </c>
      <c r="O19" s="71">
        <v>10</v>
      </c>
      <c r="P19" s="48"/>
      <c r="Q19" s="49"/>
      <c r="R19" s="48"/>
      <c r="S19" s="49"/>
      <c r="T19" s="46">
        <f>K19*N19*O19</f>
        <v>60</v>
      </c>
      <c r="X19" s="22"/>
    </row>
    <row r="20" spans="1:24" ht="15" customHeight="1">
      <c r="A20" s="149"/>
      <c r="B20" s="76" t="s">
        <v>312</v>
      </c>
      <c r="C20" s="5" t="s">
        <v>211</v>
      </c>
      <c r="D20" s="72" t="s">
        <v>214</v>
      </c>
      <c r="E20" s="2" t="s">
        <v>19</v>
      </c>
      <c r="F20" s="42">
        <v>4</v>
      </c>
      <c r="G20" s="42">
        <v>3</v>
      </c>
      <c r="H20" s="12">
        <f t="shared" si="0"/>
        <v>12</v>
      </c>
      <c r="I20" s="4">
        <v>1</v>
      </c>
      <c r="J20" s="73"/>
      <c r="K20" s="12">
        <f>H20-J20</f>
        <v>12</v>
      </c>
      <c r="L20" s="64"/>
      <c r="M20" s="64"/>
      <c r="N20" s="19">
        <v>0.5</v>
      </c>
      <c r="O20" s="71">
        <v>15</v>
      </c>
      <c r="P20" s="48"/>
      <c r="Q20" s="49"/>
      <c r="R20" s="48"/>
      <c r="S20" s="49"/>
      <c r="T20" s="46">
        <f>K20*N20*O20</f>
        <v>90</v>
      </c>
      <c r="X20" s="22"/>
    </row>
    <row r="21" spans="1:24" ht="15" customHeight="1">
      <c r="A21" s="149"/>
      <c r="B21" s="76" t="s">
        <v>313</v>
      </c>
      <c r="C21" s="5" t="s">
        <v>211</v>
      </c>
      <c r="D21" s="72" t="s">
        <v>213</v>
      </c>
      <c r="E21" s="2" t="s">
        <v>19</v>
      </c>
      <c r="F21" s="42">
        <v>6</v>
      </c>
      <c r="G21" s="42">
        <v>3</v>
      </c>
      <c r="H21" s="12">
        <f t="shared" si="0"/>
        <v>18</v>
      </c>
      <c r="I21" s="4">
        <v>1</v>
      </c>
      <c r="J21" s="12">
        <f>H12+H13+H14+H15+H16+H17</f>
        <v>11.7</v>
      </c>
      <c r="K21" s="12">
        <f>H21-J21</f>
        <v>6.300000000000001</v>
      </c>
      <c r="L21" s="64"/>
      <c r="M21" s="64"/>
      <c r="N21" s="19">
        <v>0.5</v>
      </c>
      <c r="O21" s="71">
        <v>20</v>
      </c>
      <c r="P21" s="48"/>
      <c r="Q21" s="49"/>
      <c r="R21" s="48"/>
      <c r="S21" s="49"/>
      <c r="T21" s="46">
        <f>K21*N21*O21</f>
        <v>63.00000000000001</v>
      </c>
      <c r="X21" s="22"/>
    </row>
    <row r="22" spans="1:24" ht="15" customHeight="1">
      <c r="A22" s="149"/>
      <c r="B22" s="76" t="s">
        <v>314</v>
      </c>
      <c r="C22" s="5" t="s">
        <v>216</v>
      </c>
      <c r="D22" s="72"/>
      <c r="E22" s="2" t="s">
        <v>19</v>
      </c>
      <c r="F22" s="42">
        <v>1.5</v>
      </c>
      <c r="G22" s="42">
        <v>1.3</v>
      </c>
      <c r="H22" s="7">
        <f t="shared" si="0"/>
        <v>1.9500000000000002</v>
      </c>
      <c r="I22" s="4">
        <v>1</v>
      </c>
      <c r="J22" s="73"/>
      <c r="K22" s="7">
        <f>H22</f>
        <v>1.9500000000000002</v>
      </c>
      <c r="L22" s="64"/>
      <c r="M22" s="64"/>
      <c r="N22" s="19">
        <v>3.5</v>
      </c>
      <c r="O22" s="71">
        <v>12</v>
      </c>
      <c r="P22" s="48"/>
      <c r="Q22" s="49"/>
      <c r="R22" s="48"/>
      <c r="S22" s="49"/>
      <c r="T22" s="46">
        <f>K22*N22*O22</f>
        <v>81.9</v>
      </c>
      <c r="X22" s="22"/>
    </row>
    <row r="23" spans="1:20" ht="15" customHeight="1">
      <c r="A23" s="149"/>
      <c r="B23" s="76" t="s">
        <v>315</v>
      </c>
      <c r="C23" s="5" t="s">
        <v>218</v>
      </c>
      <c r="D23" s="5" t="s">
        <v>223</v>
      </c>
      <c r="E23" s="2" t="s">
        <v>19</v>
      </c>
      <c r="F23" s="64"/>
      <c r="G23" s="64"/>
      <c r="H23" s="64"/>
      <c r="I23" s="49"/>
      <c r="J23" s="73"/>
      <c r="K23" s="64"/>
      <c r="L23" s="64"/>
      <c r="M23" s="64"/>
      <c r="N23" s="73"/>
      <c r="O23" s="48"/>
      <c r="P23" s="63">
        <v>130</v>
      </c>
      <c r="Q23" s="63">
        <v>4</v>
      </c>
      <c r="R23" s="49"/>
      <c r="S23" s="49"/>
      <c r="T23" s="46">
        <f>P23*Q23</f>
        <v>520</v>
      </c>
    </row>
    <row r="24" spans="1:20" ht="21.75" customHeight="1">
      <c r="A24" s="149"/>
      <c r="B24" s="76" t="s">
        <v>316</v>
      </c>
      <c r="C24" s="5" t="s">
        <v>218</v>
      </c>
      <c r="D24" s="5" t="s">
        <v>222</v>
      </c>
      <c r="E24" s="2" t="s">
        <v>19</v>
      </c>
      <c r="F24" s="64"/>
      <c r="G24" s="64"/>
      <c r="H24" s="64"/>
      <c r="I24" s="49"/>
      <c r="J24" s="73"/>
      <c r="K24" s="64"/>
      <c r="L24" s="64"/>
      <c r="M24" s="64"/>
      <c r="N24" s="73"/>
      <c r="O24" s="48"/>
      <c r="P24" s="63">
        <v>110</v>
      </c>
      <c r="Q24" s="63">
        <v>30</v>
      </c>
      <c r="R24" s="49"/>
      <c r="S24" s="49"/>
      <c r="T24" s="46">
        <f aca="true" t="shared" si="3" ref="T24:T29">P24*Q24</f>
        <v>3300</v>
      </c>
    </row>
    <row r="25" spans="1:20" ht="22.5" customHeight="1">
      <c r="A25" s="149"/>
      <c r="B25" s="76" t="s">
        <v>317</v>
      </c>
      <c r="C25" s="5" t="s">
        <v>218</v>
      </c>
      <c r="D25" s="72" t="s">
        <v>225</v>
      </c>
      <c r="E25" s="2" t="s">
        <v>19</v>
      </c>
      <c r="F25" s="64"/>
      <c r="G25" s="64"/>
      <c r="H25" s="64"/>
      <c r="I25" s="49"/>
      <c r="J25" s="73"/>
      <c r="K25" s="64"/>
      <c r="L25" s="64"/>
      <c r="M25" s="64"/>
      <c r="N25" s="73"/>
      <c r="O25" s="48"/>
      <c r="P25" s="63">
        <v>130</v>
      </c>
      <c r="Q25" s="63">
        <v>4</v>
      </c>
      <c r="R25" s="49"/>
      <c r="S25" s="49"/>
      <c r="T25" s="46">
        <f t="shared" si="3"/>
        <v>520</v>
      </c>
    </row>
    <row r="26" spans="1:20" ht="15" customHeight="1">
      <c r="A26" s="149"/>
      <c r="B26" s="76" t="s">
        <v>318</v>
      </c>
      <c r="C26" s="5" t="s">
        <v>218</v>
      </c>
      <c r="D26" s="5" t="s">
        <v>224</v>
      </c>
      <c r="E26" s="2" t="s">
        <v>19</v>
      </c>
      <c r="F26" s="64"/>
      <c r="G26" s="64"/>
      <c r="H26" s="64"/>
      <c r="I26" s="49"/>
      <c r="J26" s="73"/>
      <c r="K26" s="64"/>
      <c r="L26" s="64"/>
      <c r="M26" s="64"/>
      <c r="N26" s="73"/>
      <c r="O26" s="48"/>
      <c r="P26" s="63">
        <v>145</v>
      </c>
      <c r="Q26" s="63">
        <v>30</v>
      </c>
      <c r="R26" s="49"/>
      <c r="S26" s="49"/>
      <c r="T26" s="46">
        <f t="shared" si="3"/>
        <v>4350</v>
      </c>
    </row>
    <row r="27" spans="1:20" ht="15" customHeight="1">
      <c r="A27" s="149"/>
      <c r="B27" s="76" t="s">
        <v>319</v>
      </c>
      <c r="C27" s="5" t="s">
        <v>218</v>
      </c>
      <c r="D27" s="5" t="s">
        <v>226</v>
      </c>
      <c r="E27" s="2" t="s">
        <v>19</v>
      </c>
      <c r="F27" s="64"/>
      <c r="G27" s="64"/>
      <c r="H27" s="64"/>
      <c r="I27" s="49"/>
      <c r="J27" s="73"/>
      <c r="K27" s="64"/>
      <c r="L27" s="64"/>
      <c r="M27" s="64"/>
      <c r="N27" s="73"/>
      <c r="O27" s="48"/>
      <c r="P27" s="63">
        <v>160</v>
      </c>
      <c r="Q27" s="63">
        <v>30</v>
      </c>
      <c r="R27" s="49"/>
      <c r="S27" s="49"/>
      <c r="T27" s="46">
        <f t="shared" si="3"/>
        <v>4800</v>
      </c>
    </row>
    <row r="28" spans="1:20" ht="15" customHeight="1">
      <c r="A28" s="149"/>
      <c r="B28" s="76" t="s">
        <v>320</v>
      </c>
      <c r="C28" s="5" t="s">
        <v>218</v>
      </c>
      <c r="D28" s="5" t="s">
        <v>227</v>
      </c>
      <c r="E28" s="2" t="s">
        <v>19</v>
      </c>
      <c r="F28" s="64"/>
      <c r="G28" s="64"/>
      <c r="H28" s="64"/>
      <c r="I28" s="49"/>
      <c r="J28" s="73"/>
      <c r="K28" s="64"/>
      <c r="L28" s="64"/>
      <c r="M28" s="64"/>
      <c r="N28" s="73"/>
      <c r="O28" s="48"/>
      <c r="P28" s="63">
        <v>245</v>
      </c>
      <c r="Q28" s="63">
        <v>10</v>
      </c>
      <c r="R28" s="49"/>
      <c r="S28" s="49"/>
      <c r="T28" s="46">
        <f t="shared" si="3"/>
        <v>2450</v>
      </c>
    </row>
    <row r="29" spans="1:20" ht="21.75" customHeight="1">
      <c r="A29" s="149"/>
      <c r="B29" s="76" t="s">
        <v>321</v>
      </c>
      <c r="C29" s="5" t="s">
        <v>218</v>
      </c>
      <c r="D29" s="72" t="s">
        <v>302</v>
      </c>
      <c r="E29" s="2" t="s">
        <v>19</v>
      </c>
      <c r="F29" s="64"/>
      <c r="G29" s="64"/>
      <c r="H29" s="64"/>
      <c r="I29" s="49"/>
      <c r="J29" s="73"/>
      <c r="K29" s="64"/>
      <c r="L29" s="64"/>
      <c r="M29" s="64"/>
      <c r="N29" s="73"/>
      <c r="O29" s="48"/>
      <c r="P29" s="63">
        <v>425</v>
      </c>
      <c r="Q29" s="63">
        <v>30</v>
      </c>
      <c r="R29" s="49"/>
      <c r="S29" s="49"/>
      <c r="T29" s="46">
        <f t="shared" si="3"/>
        <v>12750</v>
      </c>
    </row>
    <row r="30" spans="1:20" ht="27" customHeight="1">
      <c r="A30" s="149"/>
      <c r="B30" s="76" t="s">
        <v>322</v>
      </c>
      <c r="C30" s="5" t="s">
        <v>228</v>
      </c>
      <c r="D30" s="72" t="s">
        <v>223</v>
      </c>
      <c r="E30" s="2" t="s">
        <v>19</v>
      </c>
      <c r="F30" s="42">
        <v>4</v>
      </c>
      <c r="G30" s="42">
        <v>4</v>
      </c>
      <c r="H30" s="12">
        <f>F30*G30</f>
        <v>16</v>
      </c>
      <c r="I30" s="4">
        <v>1</v>
      </c>
      <c r="J30" s="3"/>
      <c r="K30" s="12">
        <f>H30*I30</f>
        <v>16</v>
      </c>
      <c r="L30" s="64"/>
      <c r="M30" s="64"/>
      <c r="N30" s="73"/>
      <c r="O30" s="73"/>
      <c r="P30" s="49"/>
      <c r="Q30" s="49"/>
      <c r="R30" s="48"/>
      <c r="S30" s="49"/>
      <c r="T30" s="46">
        <f>K30*10</f>
        <v>160</v>
      </c>
    </row>
    <row r="31" spans="1:24" ht="38.25" customHeight="1">
      <c r="A31" s="149"/>
      <c r="B31" s="76" t="s">
        <v>323</v>
      </c>
      <c r="C31" s="5" t="s">
        <v>228</v>
      </c>
      <c r="D31" s="72" t="s">
        <v>301</v>
      </c>
      <c r="E31" s="2" t="s">
        <v>19</v>
      </c>
      <c r="F31" s="42">
        <v>4</v>
      </c>
      <c r="G31" s="42">
        <v>4</v>
      </c>
      <c r="H31" s="12">
        <f>F31*G31</f>
        <v>16</v>
      </c>
      <c r="I31" s="4">
        <v>1</v>
      </c>
      <c r="J31" s="3"/>
      <c r="K31" s="12">
        <f>H31*I31</f>
        <v>16</v>
      </c>
      <c r="L31" s="64"/>
      <c r="M31" s="64"/>
      <c r="N31" s="73"/>
      <c r="O31" s="73"/>
      <c r="P31" s="49"/>
      <c r="Q31" s="49"/>
      <c r="R31" s="48"/>
      <c r="S31" s="49"/>
      <c r="T31" s="46">
        <f>K31*40</f>
        <v>640</v>
      </c>
      <c r="U31" s="21"/>
      <c r="V31" s="9"/>
      <c r="W31" s="21"/>
      <c r="X31" s="22"/>
    </row>
    <row r="32" spans="1:24" ht="40.5" customHeight="1">
      <c r="A32" s="149"/>
      <c r="B32" s="76" t="s">
        <v>324</v>
      </c>
      <c r="C32" s="5" t="s">
        <v>228</v>
      </c>
      <c r="D32" s="72" t="s">
        <v>292</v>
      </c>
      <c r="E32" s="2" t="s">
        <v>19</v>
      </c>
      <c r="F32" s="42">
        <v>4</v>
      </c>
      <c r="G32" s="42">
        <v>4</v>
      </c>
      <c r="H32" s="12">
        <f>F32*G32</f>
        <v>16</v>
      </c>
      <c r="I32" s="4">
        <v>1</v>
      </c>
      <c r="J32" s="3"/>
      <c r="K32" s="12">
        <f>H32*I32</f>
        <v>16</v>
      </c>
      <c r="L32" s="64"/>
      <c r="M32" s="64"/>
      <c r="N32" s="73"/>
      <c r="O32" s="73"/>
      <c r="P32" s="49"/>
      <c r="Q32" s="49"/>
      <c r="R32" s="48"/>
      <c r="S32" s="49"/>
      <c r="T32" s="46">
        <f>K32*100</f>
        <v>1600</v>
      </c>
      <c r="U32" s="21"/>
      <c r="V32" s="9"/>
      <c r="W32" s="21"/>
      <c r="X32" s="22"/>
    </row>
    <row r="33" spans="1:24" ht="29.25" customHeight="1">
      <c r="A33" s="149"/>
      <c r="B33" s="76" t="s">
        <v>325</v>
      </c>
      <c r="C33" s="5" t="s">
        <v>233</v>
      </c>
      <c r="D33" s="74">
        <v>0.25</v>
      </c>
      <c r="E33" s="2" t="s">
        <v>232</v>
      </c>
      <c r="F33" s="64"/>
      <c r="G33" s="64"/>
      <c r="H33" s="64"/>
      <c r="I33" s="4">
        <v>1</v>
      </c>
      <c r="J33" s="3"/>
      <c r="K33" s="64"/>
      <c r="L33" s="64"/>
      <c r="M33" s="64"/>
      <c r="N33" s="73"/>
      <c r="O33" s="73"/>
      <c r="P33" s="49"/>
      <c r="Q33" s="49"/>
      <c r="R33" s="48"/>
      <c r="S33" s="49"/>
      <c r="T33" s="46">
        <f>I33*430</f>
        <v>430</v>
      </c>
      <c r="U33" s="21"/>
      <c r="V33" s="9"/>
      <c r="W33" s="21"/>
      <c r="X33" s="22"/>
    </row>
    <row r="34" spans="1:24" ht="29.25" customHeight="1">
      <c r="A34" s="149"/>
      <c r="B34" s="76" t="s">
        <v>326</v>
      </c>
      <c r="C34" s="5" t="s">
        <v>235</v>
      </c>
      <c r="D34" s="72" t="s">
        <v>223</v>
      </c>
      <c r="E34" s="2"/>
      <c r="F34" s="42">
        <v>4</v>
      </c>
      <c r="G34" s="42">
        <v>4</v>
      </c>
      <c r="H34" s="12">
        <f>F34*G34</f>
        <v>16</v>
      </c>
      <c r="I34" s="49"/>
      <c r="J34" s="73"/>
      <c r="K34" s="64"/>
      <c r="L34" s="64"/>
      <c r="M34" s="64"/>
      <c r="N34" s="73"/>
      <c r="O34" s="73"/>
      <c r="P34" s="49"/>
      <c r="Q34" s="5">
        <f>H34*0.029</f>
        <v>0.464</v>
      </c>
      <c r="R34" s="48"/>
      <c r="S34" s="5">
        <f>Q34*35</f>
        <v>16.240000000000002</v>
      </c>
      <c r="T34" s="46">
        <f>7*S34+2.2*(4.7*POWER(G12,-0.54))*J21*H45</f>
        <v>1688.6353618471617</v>
      </c>
      <c r="U34" s="21"/>
      <c r="V34" s="9"/>
      <c r="W34" s="21"/>
      <c r="X34" s="22"/>
    </row>
    <row r="35" spans="1:24" ht="21.75" customHeight="1">
      <c r="A35" s="149"/>
      <c r="B35" s="76" t="s">
        <v>326</v>
      </c>
      <c r="C35" s="5" t="s">
        <v>235</v>
      </c>
      <c r="D35" s="72" t="s">
        <v>284</v>
      </c>
      <c r="E35" s="2"/>
      <c r="F35" s="42">
        <v>4</v>
      </c>
      <c r="G35" s="42">
        <v>4</v>
      </c>
      <c r="H35" s="12">
        <f>F35*G35</f>
        <v>16</v>
      </c>
      <c r="I35" s="49"/>
      <c r="J35" s="73"/>
      <c r="K35" s="64"/>
      <c r="L35" s="64"/>
      <c r="M35" s="64"/>
      <c r="N35" s="73"/>
      <c r="O35" s="73"/>
      <c r="P35" s="49"/>
      <c r="Q35" s="5">
        <f>H35/80</f>
        <v>0.2</v>
      </c>
      <c r="R35" s="48"/>
      <c r="S35" s="5">
        <f>Q35*35</f>
        <v>7</v>
      </c>
      <c r="T35" s="46">
        <f>7*S35+2.2*(4.7*POWER(G13,-0.54))*J21*H45</f>
        <v>1623.9553618471616</v>
      </c>
      <c r="U35" s="21"/>
      <c r="V35" s="9"/>
      <c r="W35" s="21"/>
      <c r="X35" s="22"/>
    </row>
    <row r="36" spans="1:24" ht="15.75" customHeight="1">
      <c r="A36" s="149"/>
      <c r="B36" s="76" t="s">
        <v>327</v>
      </c>
      <c r="C36" s="5" t="s">
        <v>235</v>
      </c>
      <c r="D36" s="72" t="s">
        <v>238</v>
      </c>
      <c r="E36" s="2"/>
      <c r="F36" s="42">
        <v>4</v>
      </c>
      <c r="G36" s="42">
        <v>4</v>
      </c>
      <c r="H36" s="12">
        <f aca="true" t="shared" si="4" ref="H36:H41">F36*G36</f>
        <v>16</v>
      </c>
      <c r="I36" s="49"/>
      <c r="J36" s="73"/>
      <c r="K36" s="64"/>
      <c r="L36" s="64"/>
      <c r="M36" s="64"/>
      <c r="N36" s="73"/>
      <c r="O36" s="73"/>
      <c r="P36" s="49"/>
      <c r="Q36" s="5">
        <f>H36/10</f>
        <v>1.6</v>
      </c>
      <c r="R36" s="48"/>
      <c r="S36" s="5">
        <f>Q36*50</f>
        <v>80</v>
      </c>
      <c r="T36" s="46">
        <f>7*S36+2.2*(4.7*POWER(G14,-0.54))*J21*H45</f>
        <v>2134.955361847162</v>
      </c>
      <c r="U36" s="21"/>
      <c r="V36" s="9"/>
      <c r="W36" s="21"/>
      <c r="X36" s="22"/>
    </row>
    <row r="37" spans="1:24" ht="15" customHeight="1">
      <c r="A37" s="149"/>
      <c r="B37" s="76" t="s">
        <v>328</v>
      </c>
      <c r="C37" s="5" t="s">
        <v>235</v>
      </c>
      <c r="D37" s="72" t="s">
        <v>239</v>
      </c>
      <c r="E37" s="2"/>
      <c r="F37" s="42">
        <v>4</v>
      </c>
      <c r="G37" s="42">
        <v>4</v>
      </c>
      <c r="H37" s="12">
        <f t="shared" si="4"/>
        <v>16</v>
      </c>
      <c r="I37" s="49"/>
      <c r="J37" s="73"/>
      <c r="K37" s="64"/>
      <c r="L37" s="64"/>
      <c r="M37" s="64"/>
      <c r="N37" s="73"/>
      <c r="O37" s="73"/>
      <c r="P37" s="49"/>
      <c r="Q37" s="12">
        <f>H37/60</f>
        <v>0.26666666666666666</v>
      </c>
      <c r="R37" s="64"/>
      <c r="S37" s="46">
        <f>Q37*35</f>
        <v>9.333333333333334</v>
      </c>
      <c r="T37" s="46">
        <f>7*S37+2.2*(4.7*POWER(G15,-0.54))*J21*H45</f>
        <v>1640.2886951804949</v>
      </c>
      <c r="U37" s="21"/>
      <c r="V37" s="9"/>
      <c r="W37" s="21"/>
      <c r="X37" s="22"/>
    </row>
    <row r="38" spans="1:24" ht="15" customHeight="1">
      <c r="A38" s="149"/>
      <c r="B38" s="76" t="s">
        <v>329</v>
      </c>
      <c r="C38" s="5" t="s">
        <v>235</v>
      </c>
      <c r="D38" s="72" t="s">
        <v>240</v>
      </c>
      <c r="E38" s="2"/>
      <c r="F38" s="42">
        <v>4</v>
      </c>
      <c r="G38" s="42">
        <v>4</v>
      </c>
      <c r="H38" s="12">
        <f t="shared" si="4"/>
        <v>16</v>
      </c>
      <c r="I38" s="49"/>
      <c r="J38" s="73"/>
      <c r="K38" s="64"/>
      <c r="L38" s="64"/>
      <c r="M38" s="64"/>
      <c r="N38" s="73"/>
      <c r="O38" s="73"/>
      <c r="P38" s="49"/>
      <c r="Q38" s="12">
        <f>H38/15</f>
        <v>1.0666666666666667</v>
      </c>
      <c r="R38" s="64"/>
      <c r="S38" s="46">
        <f>Q38*35</f>
        <v>37.333333333333336</v>
      </c>
      <c r="T38" s="46">
        <f>7*S38+2.2*(4.7*POWER(G16,-0.54))*J21*H45</f>
        <v>1836.2886951804949</v>
      </c>
      <c r="U38" s="21"/>
      <c r="V38" s="9"/>
      <c r="W38" s="21"/>
      <c r="X38" s="22"/>
    </row>
    <row r="39" spans="1:24" ht="27.75" customHeight="1">
      <c r="A39" s="149"/>
      <c r="B39" s="76" t="s">
        <v>330</v>
      </c>
      <c r="C39" s="5" t="s">
        <v>235</v>
      </c>
      <c r="D39" s="72" t="s">
        <v>229</v>
      </c>
      <c r="E39" s="2"/>
      <c r="F39" s="42">
        <v>4</v>
      </c>
      <c r="G39" s="42">
        <v>4</v>
      </c>
      <c r="H39" s="12">
        <f t="shared" si="4"/>
        <v>16</v>
      </c>
      <c r="I39" s="49"/>
      <c r="J39" s="73"/>
      <c r="K39" s="64"/>
      <c r="L39" s="64"/>
      <c r="M39" s="64"/>
      <c r="N39" s="73"/>
      <c r="O39" s="73"/>
      <c r="P39" s="49"/>
      <c r="Q39" s="12">
        <f>H39/20</f>
        <v>0.8</v>
      </c>
      <c r="R39" s="64"/>
      <c r="S39" s="46">
        <f>Q39*20</f>
        <v>16</v>
      </c>
      <c r="T39" s="46">
        <f>7*S39+2.2*(4.7*POWER(G17,-0.54))*J21*H45</f>
        <v>1686.9553618471616</v>
      </c>
      <c r="U39" s="21"/>
      <c r="V39" s="9"/>
      <c r="W39" s="21"/>
      <c r="X39" s="22"/>
    </row>
    <row r="40" spans="1:24" ht="23.25" customHeight="1">
      <c r="A40" s="149"/>
      <c r="B40" s="76" t="s">
        <v>331</v>
      </c>
      <c r="C40" s="5" t="s">
        <v>235</v>
      </c>
      <c r="D40" s="72" t="s">
        <v>285</v>
      </c>
      <c r="E40" s="2"/>
      <c r="F40" s="42">
        <v>4</v>
      </c>
      <c r="G40" s="42">
        <v>4</v>
      </c>
      <c r="H40" s="12">
        <f t="shared" si="4"/>
        <v>16</v>
      </c>
      <c r="I40" s="49"/>
      <c r="J40" s="73"/>
      <c r="K40" s="64"/>
      <c r="L40" s="64"/>
      <c r="M40" s="64"/>
      <c r="N40" s="73"/>
      <c r="O40" s="73"/>
      <c r="P40" s="49"/>
      <c r="Q40" s="12">
        <f>H40/10</f>
        <v>1.6</v>
      </c>
      <c r="R40" s="64"/>
      <c r="S40" s="46">
        <f>Q40*25</f>
        <v>40</v>
      </c>
      <c r="T40" s="46">
        <f>7*S40+2.2*(4.7*POWER(G18,-0.54))*J21*H45</f>
        <v>1138.3912148917686</v>
      </c>
      <c r="X40" s="22"/>
    </row>
    <row r="41" spans="1:24" ht="15" customHeight="1">
      <c r="A41" s="149"/>
      <c r="B41" s="76" t="s">
        <v>332</v>
      </c>
      <c r="C41" s="5" t="s">
        <v>235</v>
      </c>
      <c r="D41" s="72" t="s">
        <v>241</v>
      </c>
      <c r="E41" s="2"/>
      <c r="F41" s="42">
        <v>4</v>
      </c>
      <c r="G41" s="42">
        <v>4</v>
      </c>
      <c r="H41" s="12">
        <f t="shared" si="4"/>
        <v>16</v>
      </c>
      <c r="I41" s="49"/>
      <c r="J41" s="73"/>
      <c r="K41" s="64"/>
      <c r="L41" s="64"/>
      <c r="M41" s="64"/>
      <c r="N41" s="73"/>
      <c r="O41" s="73"/>
      <c r="P41" s="49"/>
      <c r="Q41" s="12">
        <f>H41/50</f>
        <v>0.32</v>
      </c>
      <c r="R41" s="64"/>
      <c r="S41" s="46">
        <f>Q41*25</f>
        <v>8</v>
      </c>
      <c r="T41" s="46">
        <f>7*S41+2.2*(4.7*POWER(G19,-0.54))*J21*H45</f>
        <v>1058.6565194343602</v>
      </c>
      <c r="U41" s="21"/>
      <c r="X41" s="22"/>
    </row>
    <row r="42" spans="1:24" ht="27" customHeight="1">
      <c r="A42" s="149"/>
      <c r="B42" s="76" t="s">
        <v>333</v>
      </c>
      <c r="C42" s="5" t="s">
        <v>235</v>
      </c>
      <c r="D42" s="72" t="s">
        <v>286</v>
      </c>
      <c r="E42" s="2"/>
      <c r="F42" s="42">
        <v>4</v>
      </c>
      <c r="G42" s="42">
        <v>4</v>
      </c>
      <c r="H42" s="12">
        <f>F42*G42</f>
        <v>16</v>
      </c>
      <c r="I42" s="49"/>
      <c r="J42" s="73"/>
      <c r="K42" s="64"/>
      <c r="L42" s="64"/>
      <c r="M42" s="64"/>
      <c r="N42" s="73"/>
      <c r="O42" s="73"/>
      <c r="P42" s="49"/>
      <c r="Q42" s="12">
        <f>H42/20</f>
        <v>0.8</v>
      </c>
      <c r="R42" s="64"/>
      <c r="S42" s="46">
        <f>Q42*25</f>
        <v>20</v>
      </c>
      <c r="T42" s="46">
        <f>7*S42+2.2*(4.7*POWER(G20,-0.54))*J21*H45</f>
        <v>1142.6565194343602</v>
      </c>
      <c r="U42" s="21"/>
      <c r="X42" s="22"/>
    </row>
    <row r="43" spans="1:24" ht="15" customHeight="1">
      <c r="A43" s="149"/>
      <c r="B43" s="76" t="s">
        <v>334</v>
      </c>
      <c r="C43" s="5" t="s">
        <v>235</v>
      </c>
      <c r="D43" s="72" t="s">
        <v>242</v>
      </c>
      <c r="E43" s="2"/>
      <c r="F43" s="42">
        <v>4</v>
      </c>
      <c r="G43" s="42">
        <v>4</v>
      </c>
      <c r="H43" s="12">
        <f>F43*G43</f>
        <v>16</v>
      </c>
      <c r="I43" s="49"/>
      <c r="J43" s="73"/>
      <c r="K43" s="64"/>
      <c r="L43" s="64"/>
      <c r="M43" s="64"/>
      <c r="N43" s="73"/>
      <c r="O43" s="73"/>
      <c r="P43" s="49"/>
      <c r="Q43" s="12">
        <f>H43/40</f>
        <v>0.4</v>
      </c>
      <c r="R43" s="64"/>
      <c r="S43" s="46">
        <f>Q43*50</f>
        <v>20</v>
      </c>
      <c r="T43" s="46">
        <f>7*S43+2.2*(4.7*POWER(G21,-0.54))*J21*H45</f>
        <v>1142.6565194343602</v>
      </c>
      <c r="U43" s="21"/>
      <c r="X43" s="22"/>
    </row>
    <row r="44" spans="1:24" ht="27" customHeight="1">
      <c r="A44" s="149"/>
      <c r="B44" s="76" t="s">
        <v>335</v>
      </c>
      <c r="C44" s="5" t="s">
        <v>235</v>
      </c>
      <c r="D44" s="72" t="s">
        <v>287</v>
      </c>
      <c r="E44" s="2"/>
      <c r="F44" s="42">
        <v>4</v>
      </c>
      <c r="G44" s="42">
        <v>4</v>
      </c>
      <c r="H44" s="12">
        <f>F44*G44</f>
        <v>16</v>
      </c>
      <c r="I44" s="49"/>
      <c r="J44" s="73"/>
      <c r="K44" s="64"/>
      <c r="L44" s="64"/>
      <c r="M44" s="64"/>
      <c r="N44" s="73"/>
      <c r="O44" s="73"/>
      <c r="P44" s="49"/>
      <c r="Q44" s="12">
        <f>H44/25</f>
        <v>0.64</v>
      </c>
      <c r="R44" s="64"/>
      <c r="S44" s="46">
        <f>Q44*50</f>
        <v>32</v>
      </c>
      <c r="T44" s="46">
        <f>7*S44+2.2*(4.7*POWER(G22,-0.54))*J21*H45</f>
        <v>1798.9553618471616</v>
      </c>
      <c r="U44" s="21"/>
      <c r="X44" s="22"/>
    </row>
    <row r="45" spans="1:24" ht="31.5" customHeight="1">
      <c r="A45" s="149"/>
      <c r="B45" s="76"/>
      <c r="C45" s="42" t="s">
        <v>337</v>
      </c>
      <c r="D45" s="132">
        <v>20</v>
      </c>
      <c r="E45" s="4" t="s">
        <v>336</v>
      </c>
      <c r="F45" s="4">
        <v>35</v>
      </c>
      <c r="G45" s="5" t="s">
        <v>338</v>
      </c>
      <c r="H45" s="46">
        <f>F45-D45</f>
        <v>15</v>
      </c>
      <c r="I45" s="48"/>
      <c r="J45" s="64"/>
      <c r="K45" s="49"/>
      <c r="L45" s="49"/>
      <c r="M45" s="49"/>
      <c r="N45" s="49"/>
      <c r="O45" s="2"/>
      <c r="P45" s="198" t="s">
        <v>291</v>
      </c>
      <c r="Q45" s="172"/>
      <c r="R45" s="172"/>
      <c r="S45" s="172"/>
      <c r="T45" s="46">
        <f>SUM(T12:T44)</f>
        <v>51242.91997279165</v>
      </c>
      <c r="U45" s="21"/>
      <c r="X45" s="22"/>
    </row>
    <row r="46" spans="1:24" ht="31.5" customHeight="1">
      <c r="A46" s="149"/>
      <c r="B46" s="76"/>
      <c r="C46" s="105"/>
      <c r="D46" s="106"/>
      <c r="E46" s="107"/>
      <c r="F46" s="107"/>
      <c r="G46" s="107"/>
      <c r="H46" s="107"/>
      <c r="I46" s="108"/>
      <c r="J46" s="106"/>
      <c r="K46" s="107"/>
      <c r="L46" s="107"/>
      <c r="M46" s="107"/>
      <c r="N46" s="107"/>
      <c r="O46" s="109"/>
      <c r="P46" s="198" t="s">
        <v>290</v>
      </c>
      <c r="Q46" s="172"/>
      <c r="R46" s="172"/>
      <c r="S46" s="172"/>
      <c r="T46" s="46">
        <f>T45*0.86</f>
        <v>44068.91117660082</v>
      </c>
      <c r="U46" s="21"/>
      <c r="X46" s="22"/>
    </row>
    <row r="47" spans="1:24" ht="15" customHeight="1">
      <c r="A47" s="149"/>
      <c r="B47" s="237"/>
      <c r="C47" s="231" t="s">
        <v>340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3"/>
      <c r="P47" s="196" t="s">
        <v>243</v>
      </c>
      <c r="Q47" s="196"/>
      <c r="R47" s="196"/>
      <c r="S47" s="196"/>
      <c r="T47" s="146">
        <f>T48/T45</f>
        <v>0.04198730189307695</v>
      </c>
      <c r="U47" s="21"/>
      <c r="X47" s="22"/>
    </row>
    <row r="48" spans="1:24" ht="26.25" customHeight="1">
      <c r="A48" s="149"/>
      <c r="B48" s="238"/>
      <c r="C48" s="207" t="s">
        <v>343</v>
      </c>
      <c r="D48" s="207"/>
      <c r="E48" s="207"/>
      <c r="F48" s="207"/>
      <c r="G48" s="207"/>
      <c r="H48" s="207"/>
      <c r="I48" s="135">
        <f>T48/D49</f>
        <v>134.4719969237741</v>
      </c>
      <c r="J48" s="65" t="s">
        <v>20</v>
      </c>
      <c r="K48" s="42">
        <v>20</v>
      </c>
      <c r="L48" s="134" t="s">
        <v>344</v>
      </c>
      <c r="M48" s="4">
        <v>-3</v>
      </c>
      <c r="N48" s="243" t="s">
        <v>339</v>
      </c>
      <c r="O48" s="244"/>
      <c r="P48" s="244"/>
      <c r="Q48" s="244"/>
      <c r="R48" s="244"/>
      <c r="S48" s="245"/>
      <c r="T48" s="145">
        <f>((F51*((G51/10)*POWER(D49,0.065))*1.16*D49*((K48-M48)/23)*(POWER((3*D49*F49*H51*H49),0.607))*(POWER(H49,0.33)))/(POWER((D49*F49),1.66)))*1.35</f>
        <v>2151.5519507803856</v>
      </c>
      <c r="U48" s="21"/>
      <c r="X48" s="22"/>
    </row>
    <row r="49" spans="1:24" ht="21.75" customHeight="1">
      <c r="A49" s="150"/>
      <c r="B49" s="239"/>
      <c r="C49" s="65" t="s">
        <v>230</v>
      </c>
      <c r="D49" s="42">
        <v>16</v>
      </c>
      <c r="E49" s="6" t="s">
        <v>231</v>
      </c>
      <c r="F49" s="42">
        <v>3</v>
      </c>
      <c r="G49" s="44" t="s">
        <v>283</v>
      </c>
      <c r="H49" s="4">
        <v>1.95</v>
      </c>
      <c r="I49" s="64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48"/>
      <c r="U49" s="21"/>
      <c r="X49" s="22"/>
    </row>
    <row r="50" spans="1:24" ht="11.25" customHeight="1">
      <c r="A50" s="223" t="s">
        <v>50</v>
      </c>
      <c r="B50" s="223"/>
      <c r="C50" s="224"/>
      <c r="D50" s="224"/>
      <c r="E50" s="224"/>
      <c r="F50" s="44" t="s">
        <v>193</v>
      </c>
      <c r="G50" s="20" t="s">
        <v>194</v>
      </c>
      <c r="H50" s="19" t="s">
        <v>59</v>
      </c>
      <c r="I50" s="194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X50" s="21"/>
    </row>
    <row r="51" spans="1:24" ht="10.5" customHeight="1">
      <c r="A51" s="224"/>
      <c r="B51" s="224"/>
      <c r="C51" s="224"/>
      <c r="D51" s="224"/>
      <c r="E51" s="224"/>
      <c r="F51" s="75">
        <v>2260</v>
      </c>
      <c r="G51" s="75">
        <v>7</v>
      </c>
      <c r="H51" s="47">
        <v>0.6</v>
      </c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X51" s="21"/>
    </row>
    <row r="52" spans="1:24" ht="18.75" customHeight="1">
      <c r="A52" s="161"/>
      <c r="B52" s="162"/>
      <c r="C52" s="180" t="s">
        <v>342</v>
      </c>
      <c r="D52" s="180"/>
      <c r="E52" s="180"/>
      <c r="F52" s="180"/>
      <c r="G52" s="180"/>
      <c r="H52" s="180"/>
      <c r="I52" s="137">
        <f>T52/D49</f>
        <v>119.23500063464374</v>
      </c>
      <c r="J52" s="136"/>
      <c r="K52" s="240" t="s">
        <v>341</v>
      </c>
      <c r="L52" s="241"/>
      <c r="M52" s="241"/>
      <c r="N52" s="241"/>
      <c r="O52" s="241"/>
      <c r="P52" s="241"/>
      <c r="Q52" s="241"/>
      <c r="R52" s="241"/>
      <c r="S52" s="242"/>
      <c r="T52" s="137">
        <f>((7.2/100000)*((26.7-0.0041*D49)*(25.7-0.0011*D49*F49)*(35.5-3.06*LN(H49))*(5.7*4-1.23)))*(860/D49)</f>
        <v>1907.7600101542998</v>
      </c>
      <c r="X52" s="21"/>
    </row>
    <row r="53" spans="1:24" ht="15" customHeight="1">
      <c r="A53" s="54"/>
      <c r="B53" s="54"/>
      <c r="C53" s="54"/>
      <c r="D53" s="54"/>
      <c r="E53" s="45"/>
      <c r="F53" s="18"/>
      <c r="G53" s="18"/>
      <c r="H53" s="55"/>
      <c r="I53" s="18"/>
      <c r="J53" s="18"/>
      <c r="K53" s="18"/>
      <c r="L53" s="18"/>
      <c r="M53" s="18"/>
      <c r="N53" s="18"/>
      <c r="O53" s="18"/>
      <c r="P53" s="18"/>
      <c r="Q53" s="11"/>
      <c r="R53" s="11"/>
      <c r="S53" s="11"/>
      <c r="T53" s="11"/>
      <c r="X53" s="21"/>
    </row>
    <row r="54" spans="1:24" ht="27.75" customHeight="1">
      <c r="A54" s="219" t="s">
        <v>256</v>
      </c>
      <c r="B54" s="220"/>
      <c r="C54" s="220"/>
      <c r="D54" s="220"/>
      <c r="E54" s="220"/>
      <c r="F54" s="220"/>
      <c r="G54" s="18"/>
      <c r="H54" s="55"/>
      <c r="I54" s="18"/>
      <c r="J54" s="18"/>
      <c r="K54" s="18"/>
      <c r="L54" s="18"/>
      <c r="M54" s="18"/>
      <c r="N54" s="18"/>
      <c r="O54" s="18"/>
      <c r="P54" s="18"/>
      <c r="Q54" s="11"/>
      <c r="R54" s="11"/>
      <c r="S54" s="11"/>
      <c r="T54" s="11"/>
      <c r="X54" s="21"/>
    </row>
    <row r="55" spans="1:24" ht="33.75" customHeight="1">
      <c r="A55" s="77" t="s">
        <v>246</v>
      </c>
      <c r="B55" s="77" t="s">
        <v>247</v>
      </c>
      <c r="C55" s="77" t="s">
        <v>17</v>
      </c>
      <c r="D55" s="78" t="s">
        <v>254</v>
      </c>
      <c r="E55" s="79" t="s">
        <v>255</v>
      </c>
      <c r="F55" s="79" t="s">
        <v>303</v>
      </c>
      <c r="G55" s="18"/>
      <c r="H55" s="91"/>
      <c r="I55" s="18"/>
      <c r="J55" s="18"/>
      <c r="K55" s="18"/>
      <c r="L55" s="18"/>
      <c r="M55" s="18"/>
      <c r="N55" s="18"/>
      <c r="O55" s="18"/>
      <c r="P55" s="18"/>
      <c r="Q55" s="11"/>
      <c r="R55" s="11"/>
      <c r="S55" s="11"/>
      <c r="T55" s="11"/>
      <c r="X55" s="21"/>
    </row>
    <row r="56" spans="1:24" ht="15" customHeight="1">
      <c r="A56" s="80">
        <v>1</v>
      </c>
      <c r="B56" s="80" t="s">
        <v>248</v>
      </c>
      <c r="C56" s="80" t="s">
        <v>249</v>
      </c>
      <c r="D56" s="87">
        <v>1850</v>
      </c>
      <c r="E56" s="82">
        <f>(0.65*POWER(D56,0.4))/25</f>
        <v>0.5270381333652646</v>
      </c>
      <c r="F56" s="82">
        <f aca="true" t="shared" si="5" ref="F56:F62">(0.65*POWER((D56/3),0.4))/25</f>
        <v>0.3396202188053605</v>
      </c>
      <c r="G56" s="18"/>
      <c r="H56" s="55"/>
      <c r="I56" s="18"/>
      <c r="J56" s="18"/>
      <c r="K56" s="18"/>
      <c r="L56" s="18"/>
      <c r="M56" s="18"/>
      <c r="N56" s="18"/>
      <c r="O56" s="18"/>
      <c r="P56" s="18"/>
      <c r="Q56" s="11"/>
      <c r="R56" s="11"/>
      <c r="S56" s="11"/>
      <c r="T56" s="11"/>
      <c r="X56" s="21"/>
    </row>
    <row r="57" spans="1:24" ht="15" customHeight="1">
      <c r="A57" s="80">
        <v>2</v>
      </c>
      <c r="B57" s="80" t="s">
        <v>248</v>
      </c>
      <c r="C57" s="80" t="s">
        <v>249</v>
      </c>
      <c r="D57" s="87">
        <v>3600</v>
      </c>
      <c r="E57" s="82">
        <f aca="true" t="shared" si="6" ref="E57:E62">(0.65*POWER(D57,0.4))/25</f>
        <v>0.6878509608529422</v>
      </c>
      <c r="F57" s="82">
        <f t="shared" si="5"/>
        <v>0.4432470423699895</v>
      </c>
      <c r="G57" s="18"/>
      <c r="H57" s="55"/>
      <c r="I57" s="18"/>
      <c r="J57" s="18"/>
      <c r="K57" s="18"/>
      <c r="L57" s="18"/>
      <c r="M57" s="18"/>
      <c r="N57" s="18"/>
      <c r="O57" s="18"/>
      <c r="P57" s="18"/>
      <c r="Q57" s="11"/>
      <c r="R57" s="11"/>
      <c r="S57" s="11"/>
      <c r="T57" s="11"/>
      <c r="X57" s="21"/>
    </row>
    <row r="58" spans="1:24" ht="15" customHeight="1">
      <c r="A58" s="80">
        <v>3</v>
      </c>
      <c r="B58" s="80" t="s">
        <v>248</v>
      </c>
      <c r="C58" s="80" t="s">
        <v>249</v>
      </c>
      <c r="D58" s="87">
        <v>5400</v>
      </c>
      <c r="E58" s="83">
        <f t="shared" si="6"/>
        <v>0.8089670856825859</v>
      </c>
      <c r="F58" s="82">
        <f t="shared" si="5"/>
        <v>0.5212935483274499</v>
      </c>
      <c r="G58" s="18"/>
      <c r="H58" s="55"/>
      <c r="I58" s="18"/>
      <c r="J58" s="18"/>
      <c r="K58" s="18"/>
      <c r="L58" s="18"/>
      <c r="M58" s="18"/>
      <c r="N58" s="18"/>
      <c r="O58" s="18"/>
      <c r="P58" s="18"/>
      <c r="Q58" s="11"/>
      <c r="R58" s="11"/>
      <c r="S58" s="11"/>
      <c r="T58" s="11"/>
      <c r="X58" s="21"/>
    </row>
    <row r="59" spans="1:24" ht="15" customHeight="1">
      <c r="A59" s="80">
        <v>4</v>
      </c>
      <c r="B59" s="80" t="s">
        <v>248</v>
      </c>
      <c r="C59" s="80" t="s">
        <v>249</v>
      </c>
      <c r="D59" s="87">
        <v>7200</v>
      </c>
      <c r="E59" s="83">
        <f t="shared" si="6"/>
        <v>0.9076247842781936</v>
      </c>
      <c r="F59" s="82">
        <f t="shared" si="5"/>
        <v>0.5848679788338895</v>
      </c>
      <c r="G59" s="18"/>
      <c r="H59" s="55"/>
      <c r="I59" s="18"/>
      <c r="J59" s="18"/>
      <c r="K59" s="18"/>
      <c r="L59" s="18"/>
      <c r="M59" s="18"/>
      <c r="N59" s="18"/>
      <c r="O59" s="18"/>
      <c r="P59" s="18"/>
      <c r="Q59" s="11"/>
      <c r="R59" s="11"/>
      <c r="S59" s="11"/>
      <c r="T59" s="11"/>
      <c r="X59" s="21"/>
    </row>
    <row r="60" spans="1:24" ht="15" customHeight="1">
      <c r="A60" s="80">
        <v>5</v>
      </c>
      <c r="B60" s="80" t="s">
        <v>248</v>
      </c>
      <c r="C60" s="80" t="s">
        <v>249</v>
      </c>
      <c r="D60" s="87">
        <v>9000</v>
      </c>
      <c r="E60" s="83">
        <f t="shared" si="6"/>
        <v>0.992362516500726</v>
      </c>
      <c r="F60" s="82">
        <f t="shared" si="5"/>
        <v>0.6394724663208344</v>
      </c>
      <c r="G60" s="18"/>
      <c r="H60" s="55"/>
      <c r="I60" s="18"/>
      <c r="J60" s="18"/>
      <c r="K60" s="18"/>
      <c r="L60" s="18"/>
      <c r="M60" s="18"/>
      <c r="N60" s="18"/>
      <c r="O60" s="18"/>
      <c r="P60" s="18"/>
      <c r="Q60" s="11"/>
      <c r="R60" s="11"/>
      <c r="S60" s="11"/>
      <c r="T60" s="11"/>
      <c r="X60" s="21"/>
    </row>
    <row r="61" spans="1:24" ht="17.25" customHeight="1">
      <c r="A61" s="80">
        <v>7</v>
      </c>
      <c r="B61" s="80" t="s">
        <v>248</v>
      </c>
      <c r="C61" s="80" t="s">
        <v>249</v>
      </c>
      <c r="D61" s="87">
        <v>10900</v>
      </c>
      <c r="E61" s="83">
        <f t="shared" si="6"/>
        <v>1.0713810169546012</v>
      </c>
      <c r="F61" s="82">
        <f t="shared" si="5"/>
        <v>0.6903915150857892</v>
      </c>
      <c r="G61" s="18"/>
      <c r="H61" s="55"/>
      <c r="I61" s="18"/>
      <c r="J61" s="18"/>
      <c r="K61" s="18"/>
      <c r="L61" s="18"/>
      <c r="M61" s="18"/>
      <c r="N61" s="18"/>
      <c r="O61" s="18"/>
      <c r="P61" s="18"/>
      <c r="Q61" s="11"/>
      <c r="R61" s="11"/>
      <c r="S61" s="11"/>
      <c r="T61" s="11"/>
      <c r="X61" s="21"/>
    </row>
    <row r="62" spans="1:24" ht="20.25" customHeight="1">
      <c r="A62" s="221" t="s">
        <v>282</v>
      </c>
      <c r="B62" s="222"/>
      <c r="C62" s="120" t="s">
        <v>257</v>
      </c>
      <c r="D62" s="117">
        <v>10900</v>
      </c>
      <c r="E62" s="83">
        <f t="shared" si="6"/>
        <v>1.0713810169546012</v>
      </c>
      <c r="F62" s="82">
        <f t="shared" si="5"/>
        <v>0.6903915150857892</v>
      </c>
      <c r="G62" s="92"/>
      <c r="H62" s="93"/>
      <c r="I62" s="18"/>
      <c r="J62" s="18"/>
      <c r="K62" s="18"/>
      <c r="L62" s="18"/>
      <c r="M62" s="18"/>
      <c r="N62" s="18"/>
      <c r="O62" s="18"/>
      <c r="P62" s="18"/>
      <c r="Q62" s="11"/>
      <c r="R62" s="11"/>
      <c r="S62" s="11"/>
      <c r="T62" s="11"/>
      <c r="X62" s="21"/>
    </row>
    <row r="63" spans="1:24" ht="20.25" customHeight="1">
      <c r="A63" s="116" t="s">
        <v>250</v>
      </c>
      <c r="B63" s="225" t="s">
        <v>258</v>
      </c>
      <c r="C63" s="225"/>
      <c r="D63" s="87">
        <v>12000</v>
      </c>
      <c r="E63" s="98"/>
      <c r="F63" s="99"/>
      <c r="G63" s="92"/>
      <c r="H63" s="93"/>
      <c r="I63" s="18"/>
      <c r="J63" s="18"/>
      <c r="K63" s="18"/>
      <c r="L63" s="18"/>
      <c r="M63" s="18"/>
      <c r="N63" s="18"/>
      <c r="O63" s="18"/>
      <c r="P63" s="18"/>
      <c r="Q63" s="11"/>
      <c r="R63" s="11"/>
      <c r="S63" s="11"/>
      <c r="T63" s="11"/>
      <c r="X63" s="21"/>
    </row>
    <row r="64" spans="1:24" ht="25.5" customHeight="1">
      <c r="A64" s="116" t="s">
        <v>250</v>
      </c>
      <c r="B64" s="228" t="s">
        <v>259</v>
      </c>
      <c r="C64" s="229"/>
      <c r="D64" s="86">
        <f>0.65*POWER(D63,0.4)</f>
        <v>27.834655788398212</v>
      </c>
      <c r="E64" s="98"/>
      <c r="F64" s="99"/>
      <c r="G64" s="92"/>
      <c r="H64" s="93"/>
      <c r="I64" s="18"/>
      <c r="J64" s="18"/>
      <c r="K64" s="18"/>
      <c r="L64" s="18"/>
      <c r="M64" s="18"/>
      <c r="N64" s="18"/>
      <c r="O64" s="18"/>
      <c r="P64" s="18"/>
      <c r="Q64" s="11"/>
      <c r="R64" s="11"/>
      <c r="S64" s="11"/>
      <c r="T64" s="11"/>
      <c r="X64" s="21"/>
    </row>
    <row r="65" spans="1:24" ht="24.75" customHeight="1">
      <c r="A65" s="116" t="s">
        <v>261</v>
      </c>
      <c r="B65" s="230" t="s">
        <v>260</v>
      </c>
      <c r="C65" s="225"/>
      <c r="D65" s="103">
        <v>32</v>
      </c>
      <c r="E65" s="98"/>
      <c r="F65" s="99"/>
      <c r="G65" s="92"/>
      <c r="H65" s="93"/>
      <c r="I65" s="18"/>
      <c r="J65" s="18"/>
      <c r="K65" s="18"/>
      <c r="L65" s="18"/>
      <c r="M65" s="18"/>
      <c r="N65" s="18"/>
      <c r="O65" s="18"/>
      <c r="P65" s="18"/>
      <c r="Q65" s="11"/>
      <c r="R65" s="11"/>
      <c r="S65" s="11"/>
      <c r="T65" s="11"/>
      <c r="X65" s="21"/>
    </row>
    <row r="66" spans="1:24" ht="39" customHeight="1">
      <c r="A66" s="116" t="s">
        <v>262</v>
      </c>
      <c r="B66" s="79" t="s">
        <v>294</v>
      </c>
      <c r="C66" s="84" t="s">
        <v>251</v>
      </c>
      <c r="D66" s="84">
        <f>D63/5000</f>
        <v>2.4</v>
      </c>
      <c r="E66" s="45"/>
      <c r="F66" s="18"/>
      <c r="G66" s="18"/>
      <c r="H66" s="55"/>
      <c r="I66" s="18"/>
      <c r="J66" s="18"/>
      <c r="K66" s="18"/>
      <c r="L66" s="18"/>
      <c r="M66" s="18"/>
      <c r="N66" s="18"/>
      <c r="O66" s="18"/>
      <c r="P66" s="18"/>
      <c r="Q66" s="11"/>
      <c r="R66" s="11"/>
      <c r="S66" s="11"/>
      <c r="T66" s="11"/>
      <c r="X66" s="21"/>
    </row>
    <row r="67" spans="1:26" ht="47.25" customHeight="1">
      <c r="A67" s="116" t="s">
        <v>263</v>
      </c>
      <c r="B67" s="88" t="s">
        <v>293</v>
      </c>
      <c r="C67" s="81" t="s">
        <v>252</v>
      </c>
      <c r="D67" s="87">
        <v>50</v>
      </c>
      <c r="E67" s="216"/>
      <c r="F67" s="217"/>
      <c r="G67" s="85"/>
      <c r="H67" s="85"/>
      <c r="I67" s="18"/>
      <c r="J67" s="18"/>
      <c r="K67" s="18"/>
      <c r="L67" s="18"/>
      <c r="M67" s="18"/>
      <c r="N67" s="18"/>
      <c r="O67" s="18"/>
      <c r="P67" s="18"/>
      <c r="Q67" s="11"/>
      <c r="R67" s="11"/>
      <c r="S67" s="11"/>
      <c r="T67" s="11"/>
      <c r="X67" s="21"/>
      <c r="Z67" s="141"/>
    </row>
    <row r="68" spans="1:24" ht="48" customHeight="1">
      <c r="A68" s="127" t="s">
        <v>264</v>
      </c>
      <c r="B68" s="128" t="s">
        <v>295</v>
      </c>
      <c r="C68" s="129" t="s">
        <v>253</v>
      </c>
      <c r="D68" s="100">
        <f>D67*9*POWER(D66,2)/POWER((D65/10),5)</f>
        <v>7.724761962890621</v>
      </c>
      <c r="E68" s="95"/>
      <c r="F68" s="218"/>
      <c r="G68" s="210"/>
      <c r="H68" s="97"/>
      <c r="I68" s="18"/>
      <c r="J68" s="18"/>
      <c r="K68" s="18"/>
      <c r="L68" s="18"/>
      <c r="M68" s="18"/>
      <c r="N68" s="18"/>
      <c r="O68" s="18"/>
      <c r="P68" s="18"/>
      <c r="Q68" s="11"/>
      <c r="R68" s="11"/>
      <c r="S68" s="11"/>
      <c r="T68" s="11"/>
      <c r="X68" s="21"/>
    </row>
    <row r="69" spans="1:24" ht="21.75" customHeight="1">
      <c r="A69" s="202" t="s">
        <v>273</v>
      </c>
      <c r="B69" s="203"/>
      <c r="C69" s="203"/>
      <c r="D69" s="203"/>
      <c r="E69" s="204"/>
      <c r="F69" s="204"/>
      <c r="G69" s="53"/>
      <c r="H69" s="97"/>
      <c r="I69" s="18"/>
      <c r="J69" s="18"/>
      <c r="K69" s="18"/>
      <c r="L69" s="18"/>
      <c r="M69" s="18"/>
      <c r="N69" s="18"/>
      <c r="O69" s="18"/>
      <c r="P69" s="18"/>
      <c r="Q69" s="11"/>
      <c r="R69" s="11"/>
      <c r="S69" s="11"/>
      <c r="T69" s="11"/>
      <c r="X69" s="21"/>
    </row>
    <row r="70" spans="1:24" ht="41.25" customHeight="1">
      <c r="A70" s="78" t="s">
        <v>289</v>
      </c>
      <c r="B70" s="94">
        <v>17</v>
      </c>
      <c r="C70" s="102" t="s">
        <v>272</v>
      </c>
      <c r="D70" s="115">
        <f>D63/860*8</f>
        <v>111.62790697674419</v>
      </c>
      <c r="E70" s="113" t="s">
        <v>278</v>
      </c>
      <c r="F70" s="114">
        <f>((B71+1)-((B70/10)+1))*100</f>
        <v>50</v>
      </c>
      <c r="G70" s="53"/>
      <c r="H70" s="97"/>
      <c r="I70" s="18"/>
      <c r="J70" s="18"/>
      <c r="K70" s="18"/>
      <c r="L70" s="18"/>
      <c r="M70" s="18"/>
      <c r="N70" s="18"/>
      <c r="O70" s="18"/>
      <c r="P70" s="18"/>
      <c r="Q70" s="11"/>
      <c r="R70" s="11"/>
      <c r="S70" s="11"/>
      <c r="T70" s="11"/>
      <c r="X70" s="21"/>
    </row>
    <row r="71" spans="1:24" ht="24.75" customHeight="1">
      <c r="A71" s="131" t="s">
        <v>274</v>
      </c>
      <c r="B71" s="114">
        <f>B70/10+0.5</f>
        <v>2.2</v>
      </c>
      <c r="C71" s="130" t="s">
        <v>275</v>
      </c>
      <c r="D71" s="121">
        <v>4</v>
      </c>
      <c r="E71" s="113" t="s">
        <v>279</v>
      </c>
      <c r="F71" s="114">
        <f>100-F70</f>
        <v>50</v>
      </c>
      <c r="G71" s="53"/>
      <c r="H71" s="97"/>
      <c r="I71" s="18"/>
      <c r="J71" s="18"/>
      <c r="K71" s="18"/>
      <c r="L71" s="18"/>
      <c r="M71" s="18"/>
      <c r="N71" s="18"/>
      <c r="O71" s="18"/>
      <c r="P71" s="18"/>
      <c r="Q71" s="11"/>
      <c r="R71" s="11"/>
      <c r="S71" s="11"/>
      <c r="T71" s="11"/>
      <c r="X71" s="21"/>
    </row>
    <row r="72" spans="1:24" ht="23.25" customHeight="1">
      <c r="A72" s="84" t="s">
        <v>277</v>
      </c>
      <c r="B72" s="118">
        <f>D70*(0.75/100)</f>
        <v>0.8372093023255813</v>
      </c>
      <c r="C72" s="130" t="s">
        <v>276</v>
      </c>
      <c r="D72" s="122">
        <f>D71-0.5</f>
        <v>3.5</v>
      </c>
      <c r="E72" s="113" t="s">
        <v>280</v>
      </c>
      <c r="F72" s="119">
        <f>(((D72+1)-(B71+1))/(D72+1))*(F71/100)</f>
        <v>0.14444444444444443</v>
      </c>
      <c r="G72" s="53"/>
      <c r="H72" s="97"/>
      <c r="I72" s="112"/>
      <c r="J72" s="18"/>
      <c r="K72" s="18"/>
      <c r="L72" s="18"/>
      <c r="M72" s="18"/>
      <c r="N72" s="18"/>
      <c r="O72" s="18"/>
      <c r="P72" s="18"/>
      <c r="Q72" s="11"/>
      <c r="R72" s="11"/>
      <c r="S72" s="11"/>
      <c r="T72" s="11"/>
      <c r="X72" s="21"/>
    </row>
    <row r="73" spans="1:24" ht="20.25" customHeight="1">
      <c r="A73" s="138" t="s">
        <v>281</v>
      </c>
      <c r="B73" s="139">
        <f>B72/F72</f>
        <v>5.796064400715563</v>
      </c>
      <c r="C73" s="104"/>
      <c r="D73" s="101"/>
      <c r="E73" s="95"/>
      <c r="F73" s="96"/>
      <c r="G73" s="53"/>
      <c r="H73" s="97"/>
      <c r="I73" s="18"/>
      <c r="J73" s="18"/>
      <c r="K73" s="18"/>
      <c r="L73" s="18"/>
      <c r="M73" s="18"/>
      <c r="N73" s="18"/>
      <c r="O73" s="18"/>
      <c r="P73" s="18"/>
      <c r="Q73" s="11"/>
      <c r="R73" s="11"/>
      <c r="S73" s="11"/>
      <c r="T73" s="11"/>
      <c r="X73" s="21"/>
    </row>
    <row r="74" spans="1:24" ht="18.75" customHeight="1">
      <c r="A74" s="234" t="s">
        <v>345</v>
      </c>
      <c r="B74" s="235"/>
      <c r="C74" s="235"/>
      <c r="D74" s="235"/>
      <c r="E74" s="143">
        <f>0.00005*D63+15.1</f>
        <v>15.7</v>
      </c>
      <c r="F74" s="144" t="s">
        <v>38</v>
      </c>
      <c r="G74" s="18"/>
      <c r="H74" s="55"/>
      <c r="I74" s="18"/>
      <c r="J74" s="18"/>
      <c r="K74" s="18"/>
      <c r="L74" s="18"/>
      <c r="M74" s="18"/>
      <c r="N74" s="18"/>
      <c r="O74" s="18"/>
      <c r="P74" s="18"/>
      <c r="Q74" s="11"/>
      <c r="R74" s="11"/>
      <c r="S74" s="11"/>
      <c r="T74" s="11"/>
      <c r="X74" s="21"/>
    </row>
    <row r="75" spans="1:24" ht="18.75" customHeight="1">
      <c r="A75" s="226" t="s">
        <v>346</v>
      </c>
      <c r="B75" s="227"/>
      <c r="C75" s="227"/>
      <c r="D75" s="227"/>
      <c r="E75" s="142">
        <v>15</v>
      </c>
      <c r="F75" s="133" t="s">
        <v>38</v>
      </c>
      <c r="G75" s="18"/>
      <c r="H75" s="55"/>
      <c r="I75" s="18"/>
      <c r="J75" s="18"/>
      <c r="K75" s="18"/>
      <c r="L75" s="18"/>
      <c r="M75" s="18"/>
      <c r="N75" s="18"/>
      <c r="O75" s="18"/>
      <c r="P75" s="18"/>
      <c r="Q75" s="11"/>
      <c r="R75" s="11"/>
      <c r="S75" s="11"/>
      <c r="T75" s="11"/>
      <c r="X75" s="21"/>
    </row>
    <row r="76" spans="1:24" ht="60.75" customHeight="1" thickBot="1">
      <c r="A76" s="90" t="s">
        <v>296</v>
      </c>
      <c r="B76" s="140" t="s">
        <v>297</v>
      </c>
      <c r="C76" s="140" t="s">
        <v>298</v>
      </c>
      <c r="D76" s="54"/>
      <c r="E76" s="45"/>
      <c r="F76" s="18"/>
      <c r="G76" s="18"/>
      <c r="H76" s="55"/>
      <c r="I76" s="18"/>
      <c r="J76" s="18"/>
      <c r="K76" s="18"/>
      <c r="L76" s="18"/>
      <c r="M76" s="18"/>
      <c r="N76" s="18"/>
      <c r="O76" s="18"/>
      <c r="P76" s="18"/>
      <c r="Q76" s="11"/>
      <c r="R76" s="11"/>
      <c r="S76" s="11"/>
      <c r="T76" s="11"/>
      <c r="X76" s="21"/>
    </row>
    <row r="77" spans="1:24" ht="15" customHeight="1" thickBot="1">
      <c r="A77" s="90" t="s">
        <v>265</v>
      </c>
      <c r="B77" s="110">
        <v>1.05</v>
      </c>
      <c r="C77" s="111">
        <f>860*B77</f>
        <v>903</v>
      </c>
      <c r="D77" s="54"/>
      <c r="E77" s="45"/>
      <c r="F77" s="18"/>
      <c r="G77" s="18"/>
      <c r="H77" s="55"/>
      <c r="I77" s="18"/>
      <c r="J77" s="18"/>
      <c r="K77" s="18"/>
      <c r="L77" s="18"/>
      <c r="M77" s="18"/>
      <c r="N77" s="18"/>
      <c r="O77" s="18"/>
      <c r="P77" s="18"/>
      <c r="Q77" s="11"/>
      <c r="R77" s="11"/>
      <c r="S77" s="11"/>
      <c r="T77" s="11"/>
      <c r="X77" s="21"/>
    </row>
    <row r="78" spans="1:24" ht="15" customHeight="1" thickBot="1">
      <c r="A78" s="90" t="s">
        <v>265</v>
      </c>
      <c r="B78" s="110">
        <v>1.71</v>
      </c>
      <c r="C78" s="111">
        <f aca="true" t="shared" si="7" ref="C78:C85">860*B78</f>
        <v>1470.6</v>
      </c>
      <c r="D78" s="54"/>
      <c r="E78" s="45"/>
      <c r="F78" s="18"/>
      <c r="G78" s="18"/>
      <c r="H78" s="55"/>
      <c r="I78" s="18"/>
      <c r="J78" s="18"/>
      <c r="K78" s="18"/>
      <c r="L78" s="18"/>
      <c r="M78" s="18"/>
      <c r="N78" s="18"/>
      <c r="O78" s="18"/>
      <c r="P78" s="18"/>
      <c r="Q78" s="11"/>
      <c r="R78" s="11"/>
      <c r="S78" s="11"/>
      <c r="T78" s="11"/>
      <c r="X78" s="21"/>
    </row>
    <row r="79" spans="1:24" ht="15" customHeight="1" thickBot="1">
      <c r="A79" s="90" t="s">
        <v>265</v>
      </c>
      <c r="B79" s="110">
        <v>2.54</v>
      </c>
      <c r="C79" s="111">
        <f t="shared" si="7"/>
        <v>2184.4</v>
      </c>
      <c r="D79" s="54"/>
      <c r="E79" s="45"/>
      <c r="F79" s="18"/>
      <c r="G79" s="18"/>
      <c r="H79" s="55"/>
      <c r="I79" s="18"/>
      <c r="J79" s="18"/>
      <c r="K79" s="18"/>
      <c r="L79" s="18"/>
      <c r="M79" s="18"/>
      <c r="N79" s="18"/>
      <c r="O79" s="18"/>
      <c r="P79" s="18"/>
      <c r="Q79" s="11"/>
      <c r="R79" s="11"/>
      <c r="S79" s="11"/>
      <c r="T79" s="11"/>
      <c r="X79" s="21"/>
    </row>
    <row r="80" spans="1:24" ht="15" customHeight="1" thickBot="1">
      <c r="A80" s="90" t="s">
        <v>267</v>
      </c>
      <c r="B80" s="110">
        <v>3.37</v>
      </c>
      <c r="C80" s="111">
        <f t="shared" si="7"/>
        <v>2898.2000000000003</v>
      </c>
      <c r="D80" s="54"/>
      <c r="E80" s="45"/>
      <c r="F80" s="18"/>
      <c r="G80" s="18"/>
      <c r="H80" s="55"/>
      <c r="I80" s="18"/>
      <c r="J80" s="18"/>
      <c r="K80" s="18"/>
      <c r="L80" s="18"/>
      <c r="M80" s="18"/>
      <c r="N80" s="18"/>
      <c r="O80" s="18"/>
      <c r="P80" s="18"/>
      <c r="Q80" s="11"/>
      <c r="R80" s="11"/>
      <c r="S80" s="11"/>
      <c r="T80" s="11"/>
      <c r="X80" s="21"/>
    </row>
    <row r="81" spans="1:24" ht="15" customHeight="1" thickBot="1">
      <c r="A81" s="90" t="s">
        <v>266</v>
      </c>
      <c r="B81" s="110">
        <v>4.52</v>
      </c>
      <c r="C81" s="111">
        <f t="shared" si="7"/>
        <v>3887.2</v>
      </c>
      <c r="D81" s="54"/>
      <c r="E81" s="45"/>
      <c r="F81" s="18"/>
      <c r="G81" s="18"/>
      <c r="H81" s="55"/>
      <c r="I81" s="18"/>
      <c r="J81" s="18"/>
      <c r="K81" s="18"/>
      <c r="L81" s="18"/>
      <c r="M81" s="18"/>
      <c r="N81" s="18"/>
      <c r="O81" s="18"/>
      <c r="P81" s="18"/>
      <c r="Q81" s="11"/>
      <c r="R81" s="11"/>
      <c r="S81" s="11"/>
      <c r="T81" s="11"/>
      <c r="X81" s="21"/>
    </row>
    <row r="82" spans="1:24" ht="15" customHeight="1" thickBot="1">
      <c r="A82" s="90" t="s">
        <v>268</v>
      </c>
      <c r="B82" s="110">
        <v>5.48</v>
      </c>
      <c r="C82" s="111">
        <f t="shared" si="7"/>
        <v>4712.8</v>
      </c>
      <c r="D82" s="54"/>
      <c r="E82" s="45"/>
      <c r="F82" s="18"/>
      <c r="G82" s="18"/>
      <c r="H82" s="55"/>
      <c r="I82" s="18"/>
      <c r="J82" s="18"/>
      <c r="K82" s="18"/>
      <c r="L82" s="18"/>
      <c r="M82" s="18"/>
      <c r="N82" s="18"/>
      <c r="O82" s="18"/>
      <c r="P82" s="18"/>
      <c r="Q82" s="11"/>
      <c r="R82" s="11"/>
      <c r="S82" s="11"/>
      <c r="T82" s="11"/>
      <c r="X82" s="21"/>
    </row>
    <row r="83" spans="1:24" ht="15" customHeight="1" thickBot="1">
      <c r="A83" s="90" t="s">
        <v>269</v>
      </c>
      <c r="B83" s="110">
        <v>6.61</v>
      </c>
      <c r="C83" s="111">
        <f t="shared" si="7"/>
        <v>5684.6</v>
      </c>
      <c r="D83" s="54"/>
      <c r="E83" s="45"/>
      <c r="F83" s="18"/>
      <c r="G83" s="18"/>
      <c r="H83" s="55"/>
      <c r="I83" s="18"/>
      <c r="J83" s="18"/>
      <c r="K83" s="18"/>
      <c r="L83" s="18"/>
      <c r="M83" s="18"/>
      <c r="N83" s="18"/>
      <c r="O83" s="18"/>
      <c r="P83" s="18"/>
      <c r="Q83" s="11"/>
      <c r="R83" s="11"/>
      <c r="S83" s="11"/>
      <c r="T83" s="11"/>
      <c r="X83" s="21"/>
    </row>
    <row r="84" spans="1:24" ht="15" customHeight="1" thickBot="1">
      <c r="A84" s="90" t="s">
        <v>270</v>
      </c>
      <c r="B84" s="110">
        <v>7.25</v>
      </c>
      <c r="C84" s="111">
        <f t="shared" si="7"/>
        <v>6235</v>
      </c>
      <c r="D84" s="54"/>
      <c r="E84" s="45"/>
      <c r="F84" s="18"/>
      <c r="G84" s="18"/>
      <c r="H84" s="55"/>
      <c r="I84" s="18"/>
      <c r="J84" s="18"/>
      <c r="K84" s="18"/>
      <c r="L84" s="18"/>
      <c r="M84" s="18"/>
      <c r="N84" s="18"/>
      <c r="O84" s="18"/>
      <c r="P84" s="18"/>
      <c r="Q84" s="11"/>
      <c r="R84" s="11"/>
      <c r="S84" s="11"/>
      <c r="T84" s="11"/>
      <c r="X84" s="21"/>
    </row>
    <row r="85" spans="1:24" ht="15" customHeight="1" thickBot="1">
      <c r="A85" s="90" t="s">
        <v>271</v>
      </c>
      <c r="B85" s="110">
        <v>8.92</v>
      </c>
      <c r="C85" s="111">
        <f t="shared" si="7"/>
        <v>7671.2</v>
      </c>
      <c r="D85" s="54"/>
      <c r="E85" s="45"/>
      <c r="F85" s="18"/>
      <c r="G85" s="18"/>
      <c r="H85" s="55"/>
      <c r="I85" s="18"/>
      <c r="J85" s="18"/>
      <c r="K85" s="18"/>
      <c r="L85" s="18"/>
      <c r="M85" s="18"/>
      <c r="N85" s="18"/>
      <c r="O85" s="18"/>
      <c r="P85" s="18"/>
      <c r="Q85" s="11"/>
      <c r="R85" s="11"/>
      <c r="S85" s="11"/>
      <c r="T85" s="11"/>
      <c r="X85" s="21"/>
    </row>
    <row r="86" spans="1:24" ht="15" customHeight="1" thickBot="1">
      <c r="A86" s="54"/>
      <c r="B86" s="54"/>
      <c r="C86" s="54"/>
      <c r="D86" s="54"/>
      <c r="E86" s="45"/>
      <c r="F86" s="18"/>
      <c r="G86" s="18"/>
      <c r="H86" s="55"/>
      <c r="I86" s="18"/>
      <c r="J86" s="18"/>
      <c r="K86" s="18"/>
      <c r="L86" s="18"/>
      <c r="M86" s="18"/>
      <c r="N86" s="18"/>
      <c r="O86" s="18"/>
      <c r="P86" s="18"/>
      <c r="Q86" s="11"/>
      <c r="R86" s="11"/>
      <c r="S86" s="11"/>
      <c r="T86" s="11"/>
      <c r="X86" s="21"/>
    </row>
    <row r="87" spans="1:24" ht="48" customHeight="1" thickBot="1">
      <c r="A87" s="89" t="s">
        <v>288</v>
      </c>
      <c r="B87" s="123" t="s">
        <v>300</v>
      </c>
      <c r="C87" s="123" t="s">
        <v>299</v>
      </c>
      <c r="D87" s="54"/>
      <c r="E87" s="45"/>
      <c r="F87" s="18"/>
      <c r="G87" s="18"/>
      <c r="H87" s="55"/>
      <c r="I87" s="18"/>
      <c r="J87" s="18"/>
      <c r="K87" s="18"/>
      <c r="L87" s="18"/>
      <c r="M87" s="18"/>
      <c r="N87" s="18"/>
      <c r="O87" s="18"/>
      <c r="P87" s="18"/>
      <c r="Q87" s="11"/>
      <c r="R87" s="11"/>
      <c r="S87" s="11"/>
      <c r="T87" s="11"/>
      <c r="X87" s="21"/>
    </row>
    <row r="88" spans="1:24" ht="15" customHeight="1" thickBot="1">
      <c r="A88" s="90">
        <v>151</v>
      </c>
      <c r="B88" s="110">
        <v>30620</v>
      </c>
      <c r="C88" s="111">
        <v>35862</v>
      </c>
      <c r="D88" s="54"/>
      <c r="E88" s="45"/>
      <c r="F88" s="18"/>
      <c r="G88" s="18"/>
      <c r="H88" s="55"/>
      <c r="I88" s="18"/>
      <c r="J88" s="18"/>
      <c r="K88" s="18"/>
      <c r="L88" s="18"/>
      <c r="M88" s="18"/>
      <c r="N88" s="18"/>
      <c r="O88" s="18"/>
      <c r="P88" s="18"/>
      <c r="Q88" s="11"/>
      <c r="R88" s="11"/>
      <c r="S88" s="11"/>
      <c r="T88" s="11"/>
      <c r="X88" s="21"/>
    </row>
    <row r="89" spans="1:24" ht="15" customHeight="1" thickBot="1">
      <c r="A89" s="90">
        <v>201</v>
      </c>
      <c r="B89" s="110">
        <v>37585</v>
      </c>
      <c r="C89" s="111">
        <v>44032</v>
      </c>
      <c r="D89" s="54"/>
      <c r="E89" s="45"/>
      <c r="F89" s="18"/>
      <c r="G89" s="18"/>
      <c r="H89" s="55"/>
      <c r="I89" s="18"/>
      <c r="J89" s="18"/>
      <c r="K89" s="18"/>
      <c r="L89" s="18"/>
      <c r="M89" s="18"/>
      <c r="N89" s="18"/>
      <c r="O89" s="18"/>
      <c r="P89" s="18"/>
      <c r="Q89" s="11"/>
      <c r="R89" s="11"/>
      <c r="S89" s="11"/>
      <c r="T89" s="11"/>
      <c r="X89" s="21"/>
    </row>
    <row r="90" spans="1:24" ht="15" customHeight="1" thickBot="1">
      <c r="A90" s="90">
        <v>251</v>
      </c>
      <c r="B90" s="110">
        <v>46440</v>
      </c>
      <c r="C90" s="111">
        <v>53062</v>
      </c>
      <c r="D90" s="54"/>
      <c r="E90" s="45"/>
      <c r="F90" s="18"/>
      <c r="G90" s="18"/>
      <c r="H90" s="55"/>
      <c r="I90" s="18"/>
      <c r="J90" s="18"/>
      <c r="K90" s="18"/>
      <c r="L90" s="18"/>
      <c r="M90" s="18"/>
      <c r="N90" s="18"/>
      <c r="O90" s="18"/>
      <c r="P90" s="18"/>
      <c r="Q90" s="11"/>
      <c r="R90" s="11"/>
      <c r="S90" s="11"/>
      <c r="T90" s="11"/>
      <c r="X90" s="21"/>
    </row>
    <row r="91" spans="1:24" ht="15" customHeight="1" thickBot="1">
      <c r="A91" s="90">
        <v>301</v>
      </c>
      <c r="B91" s="110">
        <v>51260</v>
      </c>
      <c r="C91" s="111">
        <v>63726</v>
      </c>
      <c r="D91" s="54"/>
      <c r="E91" s="45"/>
      <c r="F91" s="18"/>
      <c r="G91" s="18"/>
      <c r="H91" s="55"/>
      <c r="I91" s="18"/>
      <c r="J91" s="18"/>
      <c r="K91" s="18"/>
      <c r="L91" s="18"/>
      <c r="M91" s="18"/>
      <c r="N91" s="18"/>
      <c r="O91" s="18"/>
      <c r="P91" s="18"/>
      <c r="Q91" s="11"/>
      <c r="R91" s="11"/>
      <c r="S91" s="11"/>
      <c r="T91" s="11"/>
      <c r="X91" s="21"/>
    </row>
    <row r="92" spans="1:24" ht="15" customHeight="1" thickBot="1">
      <c r="A92" s="90">
        <v>302</v>
      </c>
      <c r="B92" s="110">
        <v>60460</v>
      </c>
      <c r="C92" s="111">
        <v>70692</v>
      </c>
      <c r="D92" s="54"/>
      <c r="E92" s="45"/>
      <c r="F92" s="18"/>
      <c r="G92" s="18"/>
      <c r="H92" s="55"/>
      <c r="I92" s="18"/>
      <c r="J92" s="18"/>
      <c r="K92" s="18"/>
      <c r="L92" s="18"/>
      <c r="M92" s="18"/>
      <c r="N92" s="18"/>
      <c r="O92" s="18"/>
      <c r="P92" s="18"/>
      <c r="Q92" s="11"/>
      <c r="R92" s="11"/>
      <c r="S92" s="11"/>
      <c r="T92" s="11"/>
      <c r="X92" s="21"/>
    </row>
    <row r="93" spans="1:24" ht="15" customHeight="1" thickBot="1">
      <c r="A93" s="90">
        <v>351</v>
      </c>
      <c r="B93" s="110">
        <v>67855</v>
      </c>
      <c r="C93" s="111">
        <v>82732</v>
      </c>
      <c r="D93" s="54"/>
      <c r="E93" s="45"/>
      <c r="F93" s="18"/>
      <c r="G93" s="18"/>
      <c r="H93" s="55"/>
      <c r="I93" s="18"/>
      <c r="J93" s="18"/>
      <c r="K93" s="18"/>
      <c r="L93" s="49"/>
      <c r="M93" s="18"/>
      <c r="N93" s="18"/>
      <c r="O93" s="18"/>
      <c r="P93" s="18"/>
      <c r="Q93" s="11"/>
      <c r="R93" s="11"/>
      <c r="S93" s="11"/>
      <c r="T93" s="11"/>
      <c r="X93" s="21"/>
    </row>
    <row r="94" spans="1:24" ht="15" customHeight="1" thickBot="1">
      <c r="A94" s="90">
        <v>401</v>
      </c>
      <c r="B94" s="110">
        <v>79465</v>
      </c>
      <c r="C94" s="111">
        <v>93224</v>
      </c>
      <c r="D94" s="54"/>
      <c r="E94" s="45"/>
      <c r="F94" s="18"/>
      <c r="G94" s="18"/>
      <c r="H94" s="55"/>
      <c r="I94" s="18"/>
      <c r="J94" s="18"/>
      <c r="K94" s="18"/>
      <c r="L94" s="49"/>
      <c r="M94" s="18"/>
      <c r="N94" s="18"/>
      <c r="O94" s="18"/>
      <c r="P94" s="18"/>
      <c r="Q94" s="11"/>
      <c r="R94" s="11"/>
      <c r="S94" s="11"/>
      <c r="T94" s="11"/>
      <c r="X94" s="21"/>
    </row>
    <row r="95" spans="1:24" ht="15" customHeight="1" thickBot="1">
      <c r="A95" s="90">
        <v>402</v>
      </c>
      <c r="B95" s="110">
        <v>74820</v>
      </c>
      <c r="C95" s="111">
        <v>86172</v>
      </c>
      <c r="D95" s="54"/>
      <c r="E95" s="45"/>
      <c r="F95" s="18"/>
      <c r="G95" s="18"/>
      <c r="H95" s="55"/>
      <c r="I95" s="18"/>
      <c r="J95" s="18"/>
      <c r="K95" s="18"/>
      <c r="L95" s="18"/>
      <c r="M95" s="18"/>
      <c r="N95" s="18"/>
      <c r="O95" s="18"/>
      <c r="P95" s="18"/>
      <c r="Q95" s="11"/>
      <c r="R95" s="11"/>
      <c r="S95" s="11"/>
      <c r="T95" s="11"/>
      <c r="X95" s="21"/>
    </row>
    <row r="96" spans="1:24" ht="15" customHeight="1" thickBot="1">
      <c r="A96" s="90">
        <v>501</v>
      </c>
      <c r="B96" s="110">
        <v>96320</v>
      </c>
      <c r="C96" s="111">
        <v>113262</v>
      </c>
      <c r="D96" s="54"/>
      <c r="E96" s="45"/>
      <c r="F96" s="18"/>
      <c r="G96" s="18"/>
      <c r="H96" s="55"/>
      <c r="I96" s="18"/>
      <c r="J96" s="18"/>
      <c r="K96" s="18"/>
      <c r="L96" s="18"/>
      <c r="M96" s="18"/>
      <c r="N96" s="18"/>
      <c r="O96" s="18"/>
      <c r="P96" s="18"/>
      <c r="Q96" s="11"/>
      <c r="R96" s="11"/>
      <c r="S96" s="11"/>
      <c r="T96" s="11"/>
      <c r="X96" s="21"/>
    </row>
    <row r="97" spans="1:24" ht="15" customHeight="1">
      <c r="A97" s="54"/>
      <c r="B97" s="54"/>
      <c r="C97" s="54"/>
      <c r="D97" s="54"/>
      <c r="E97" s="45"/>
      <c r="F97" s="18"/>
      <c r="G97" s="18"/>
      <c r="H97" s="55"/>
      <c r="I97" s="18"/>
      <c r="J97" s="18"/>
      <c r="K97" s="18"/>
      <c r="L97" s="18"/>
      <c r="M97" s="18"/>
      <c r="N97" s="18"/>
      <c r="O97" s="18"/>
      <c r="P97" s="18"/>
      <c r="Q97" s="11"/>
      <c r="R97" s="11"/>
      <c r="S97" s="11"/>
      <c r="T97" s="11"/>
      <c r="X97" s="21"/>
    </row>
    <row r="98" spans="1:24" ht="15" customHeight="1">
      <c r="A98" s="124">
        <v>4808</v>
      </c>
      <c r="B98" s="125">
        <v>951160</v>
      </c>
      <c r="C98" s="126">
        <v>846326</v>
      </c>
      <c r="D98" s="54"/>
      <c r="E98" s="45"/>
      <c r="F98" s="18"/>
      <c r="G98" s="18"/>
      <c r="H98" s="55"/>
      <c r="I98" s="18"/>
      <c r="J98" s="18"/>
      <c r="K98" s="18"/>
      <c r="L98" s="18"/>
      <c r="M98" s="18"/>
      <c r="N98" s="18"/>
      <c r="O98" s="18"/>
      <c r="P98" s="18"/>
      <c r="Q98" s="11"/>
      <c r="R98" s="11"/>
      <c r="S98" s="11"/>
      <c r="T98" s="11"/>
      <c r="X98" s="21"/>
    </row>
    <row r="99" spans="1:24" ht="15" customHeight="1">
      <c r="A99" s="54"/>
      <c r="B99" s="54"/>
      <c r="C99" s="54"/>
      <c r="D99" s="54"/>
      <c r="E99" s="45"/>
      <c r="F99" s="18"/>
      <c r="G99" s="18"/>
      <c r="H99" s="55"/>
      <c r="I99" s="18"/>
      <c r="J99" s="18"/>
      <c r="K99" s="18"/>
      <c r="L99" s="18"/>
      <c r="M99" s="18"/>
      <c r="N99" s="18"/>
      <c r="O99" s="18"/>
      <c r="P99" s="18"/>
      <c r="Q99" s="11"/>
      <c r="R99" s="11"/>
      <c r="S99" s="11"/>
      <c r="T99" s="11"/>
      <c r="X99" s="21"/>
    </row>
    <row r="100" spans="1:24" ht="15" customHeight="1">
      <c r="A100" s="54"/>
      <c r="B100" s="54"/>
      <c r="C100" s="54"/>
      <c r="D100" s="54"/>
      <c r="E100" s="45"/>
      <c r="F100" s="18"/>
      <c r="G100" s="18"/>
      <c r="H100" s="55"/>
      <c r="I100" s="18"/>
      <c r="J100" s="18"/>
      <c r="K100" s="18"/>
      <c r="L100" s="18"/>
      <c r="M100" s="18"/>
      <c r="N100" s="18"/>
      <c r="O100" s="18"/>
      <c r="P100" s="18"/>
      <c r="Q100" s="11"/>
      <c r="R100" s="11"/>
      <c r="S100" s="11"/>
      <c r="T100" s="11"/>
      <c r="X100" s="21"/>
    </row>
    <row r="101" spans="1:24" ht="15" customHeight="1">
      <c r="A101" s="54"/>
      <c r="B101" s="54"/>
      <c r="C101" s="54"/>
      <c r="D101" s="54"/>
      <c r="E101" s="45"/>
      <c r="F101" s="18"/>
      <c r="G101" s="18"/>
      <c r="H101" s="55"/>
      <c r="I101" s="18"/>
      <c r="J101" s="18"/>
      <c r="K101" s="18"/>
      <c r="L101" s="18"/>
      <c r="M101" s="18"/>
      <c r="N101" s="18"/>
      <c r="O101" s="18"/>
      <c r="P101" s="18"/>
      <c r="Q101" s="11"/>
      <c r="R101" s="11"/>
      <c r="S101" s="11"/>
      <c r="T101" s="11"/>
      <c r="X101" s="21"/>
    </row>
    <row r="102" spans="1:24" ht="15" customHeight="1">
      <c r="A102" s="54"/>
      <c r="B102" s="54"/>
      <c r="C102" s="54"/>
      <c r="D102" s="54"/>
      <c r="E102" s="45"/>
      <c r="F102" s="18"/>
      <c r="G102" s="18"/>
      <c r="H102" s="55"/>
      <c r="I102" s="18"/>
      <c r="J102" s="18"/>
      <c r="K102" s="18"/>
      <c r="L102" s="18"/>
      <c r="M102" s="18"/>
      <c r="N102" s="18"/>
      <c r="O102" s="18"/>
      <c r="P102" s="18"/>
      <c r="Q102" s="11"/>
      <c r="R102" s="11"/>
      <c r="S102" s="11"/>
      <c r="T102" s="11"/>
      <c r="X102" s="21"/>
    </row>
    <row r="103" spans="1:24" ht="15" customHeight="1">
      <c r="A103" s="54"/>
      <c r="B103" s="54"/>
      <c r="C103" s="54"/>
      <c r="D103" s="54"/>
      <c r="E103" s="45"/>
      <c r="F103" s="18"/>
      <c r="G103" s="18"/>
      <c r="H103" s="55"/>
      <c r="I103" s="18"/>
      <c r="J103" s="18"/>
      <c r="K103" s="18"/>
      <c r="L103" s="18"/>
      <c r="M103" s="18"/>
      <c r="N103" s="18"/>
      <c r="O103" s="18"/>
      <c r="P103" s="18"/>
      <c r="Q103" s="11"/>
      <c r="R103" s="11"/>
      <c r="S103" s="11"/>
      <c r="T103" s="11"/>
      <c r="X103" s="21"/>
    </row>
    <row r="104" spans="1:24" ht="15" customHeight="1">
      <c r="A104" s="54"/>
      <c r="B104" s="54"/>
      <c r="C104" s="54"/>
      <c r="D104" s="54"/>
      <c r="E104" s="45"/>
      <c r="F104" s="18"/>
      <c r="G104" s="18"/>
      <c r="H104" s="55"/>
      <c r="I104" s="18"/>
      <c r="J104" s="18"/>
      <c r="K104" s="18"/>
      <c r="L104" s="18"/>
      <c r="M104" s="18"/>
      <c r="N104" s="18"/>
      <c r="O104" s="18"/>
      <c r="P104" s="18"/>
      <c r="Q104" s="11"/>
      <c r="R104" s="11"/>
      <c r="S104" s="11"/>
      <c r="T104" s="11"/>
      <c r="X104" s="21"/>
    </row>
    <row r="105" spans="1:24" ht="15" customHeight="1">
      <c r="A105" s="54"/>
      <c r="B105" s="54"/>
      <c r="C105" s="54"/>
      <c r="D105" s="54"/>
      <c r="E105" s="45"/>
      <c r="F105" s="18"/>
      <c r="G105" s="18"/>
      <c r="H105" s="55"/>
      <c r="I105" s="18"/>
      <c r="J105" s="18"/>
      <c r="K105" s="18"/>
      <c r="L105" s="18"/>
      <c r="M105" s="18"/>
      <c r="N105" s="18"/>
      <c r="O105" s="18"/>
      <c r="P105" s="18"/>
      <c r="Q105" s="11"/>
      <c r="R105" s="11"/>
      <c r="S105" s="11"/>
      <c r="T105" s="11"/>
      <c r="X105" s="21"/>
    </row>
    <row r="106" spans="1:24" ht="15" customHeight="1">
      <c r="A106" s="54"/>
      <c r="B106" s="54"/>
      <c r="C106" s="54"/>
      <c r="D106" s="54"/>
      <c r="E106" s="45"/>
      <c r="F106" s="18"/>
      <c r="G106" s="18"/>
      <c r="H106" s="55"/>
      <c r="I106" s="18"/>
      <c r="J106" s="18"/>
      <c r="K106" s="18"/>
      <c r="L106" s="18"/>
      <c r="M106" s="18"/>
      <c r="N106" s="18"/>
      <c r="O106" s="18"/>
      <c r="P106" s="18"/>
      <c r="Q106" s="11"/>
      <c r="R106" s="11"/>
      <c r="S106" s="11"/>
      <c r="T106" s="11"/>
      <c r="X106" s="21"/>
    </row>
    <row r="107" spans="1:24" ht="15" customHeight="1">
      <c r="A107" s="54"/>
      <c r="B107" s="54"/>
      <c r="C107" s="54"/>
      <c r="D107" s="54"/>
      <c r="E107" s="45"/>
      <c r="F107" s="18"/>
      <c r="G107" s="18"/>
      <c r="H107" s="55"/>
      <c r="I107" s="18"/>
      <c r="J107" s="18"/>
      <c r="K107" s="18"/>
      <c r="L107" s="18"/>
      <c r="M107" s="18"/>
      <c r="N107" s="18"/>
      <c r="O107" s="18"/>
      <c r="P107" s="18"/>
      <c r="Q107" s="11"/>
      <c r="R107" s="11"/>
      <c r="S107" s="11"/>
      <c r="T107" s="11"/>
      <c r="X107" s="21"/>
    </row>
    <row r="108" spans="1:24" ht="15" customHeight="1">
      <c r="A108" s="54"/>
      <c r="B108" s="54"/>
      <c r="C108" s="54"/>
      <c r="D108" s="54"/>
      <c r="E108" s="45"/>
      <c r="F108" s="18"/>
      <c r="G108" s="18"/>
      <c r="H108" s="55"/>
      <c r="I108" s="18"/>
      <c r="J108" s="18"/>
      <c r="K108" s="18"/>
      <c r="L108" s="18"/>
      <c r="M108" s="18"/>
      <c r="N108" s="18"/>
      <c r="O108" s="18"/>
      <c r="P108" s="18"/>
      <c r="Q108" s="11"/>
      <c r="R108" s="11"/>
      <c r="S108" s="11"/>
      <c r="T108" s="11"/>
      <c r="X108" s="21"/>
    </row>
    <row r="109" spans="1:24" ht="15" customHeight="1">
      <c r="A109" s="54"/>
      <c r="B109" s="54"/>
      <c r="C109" s="54"/>
      <c r="D109" s="54"/>
      <c r="E109" s="45"/>
      <c r="F109" s="18"/>
      <c r="G109" s="18"/>
      <c r="H109" s="55"/>
      <c r="I109" s="18"/>
      <c r="J109" s="18"/>
      <c r="K109" s="18"/>
      <c r="L109" s="18"/>
      <c r="M109" s="18"/>
      <c r="N109" s="18"/>
      <c r="O109" s="18"/>
      <c r="P109" s="18"/>
      <c r="Q109" s="11"/>
      <c r="R109" s="11"/>
      <c r="S109" s="11"/>
      <c r="T109" s="11"/>
      <c r="X109" s="21"/>
    </row>
    <row r="110" spans="1:24" ht="15" customHeight="1">
      <c r="A110" s="54"/>
      <c r="B110" s="54"/>
      <c r="C110" s="54"/>
      <c r="D110" s="54"/>
      <c r="E110" s="45"/>
      <c r="F110" s="18"/>
      <c r="G110" s="18"/>
      <c r="H110" s="55"/>
      <c r="I110" s="18"/>
      <c r="J110" s="18"/>
      <c r="K110" s="18"/>
      <c r="L110" s="18"/>
      <c r="M110" s="18"/>
      <c r="N110" s="18"/>
      <c r="O110" s="18"/>
      <c r="P110" s="18"/>
      <c r="Q110" s="11"/>
      <c r="R110" s="11"/>
      <c r="S110" s="11"/>
      <c r="T110" s="11"/>
      <c r="X110" s="21"/>
    </row>
    <row r="111" spans="1:24" ht="15" customHeight="1">
      <c r="A111" s="54"/>
      <c r="B111" s="54"/>
      <c r="C111" s="54"/>
      <c r="D111" s="54"/>
      <c r="E111" s="45"/>
      <c r="F111" s="18"/>
      <c r="G111" s="18"/>
      <c r="H111" s="55"/>
      <c r="I111" s="18"/>
      <c r="J111" s="18"/>
      <c r="K111" s="18"/>
      <c r="L111" s="18"/>
      <c r="M111" s="18"/>
      <c r="N111" s="18"/>
      <c r="O111" s="18"/>
      <c r="P111" s="18"/>
      <c r="Q111" s="11"/>
      <c r="R111" s="11"/>
      <c r="S111" s="11"/>
      <c r="T111" s="11"/>
      <c r="X111" s="21"/>
    </row>
    <row r="112" spans="1:24" ht="15" customHeight="1">
      <c r="A112" s="54"/>
      <c r="B112" s="54"/>
      <c r="C112" s="54"/>
      <c r="D112" s="54"/>
      <c r="E112" s="45"/>
      <c r="F112" s="18"/>
      <c r="G112" s="18"/>
      <c r="H112" s="55"/>
      <c r="I112" s="18"/>
      <c r="J112" s="18"/>
      <c r="K112" s="18"/>
      <c r="L112" s="18"/>
      <c r="M112" s="18"/>
      <c r="N112" s="18"/>
      <c r="O112" s="18"/>
      <c r="P112" s="18"/>
      <c r="Q112" s="11"/>
      <c r="R112" s="11"/>
      <c r="S112" s="11"/>
      <c r="T112" s="11"/>
      <c r="X112" s="21"/>
    </row>
    <row r="113" spans="1:24" ht="15" customHeight="1">
      <c r="A113" s="54"/>
      <c r="B113" s="54"/>
      <c r="C113" s="54"/>
      <c r="D113" s="54"/>
      <c r="E113" s="45"/>
      <c r="F113" s="18"/>
      <c r="G113" s="18"/>
      <c r="H113" s="55"/>
      <c r="I113" s="18"/>
      <c r="J113" s="18"/>
      <c r="K113" s="18"/>
      <c r="L113" s="18"/>
      <c r="M113" s="18"/>
      <c r="N113" s="18"/>
      <c r="O113" s="18"/>
      <c r="P113" s="18"/>
      <c r="Q113" s="11"/>
      <c r="R113" s="11"/>
      <c r="S113" s="11"/>
      <c r="T113" s="11"/>
      <c r="X113" s="21"/>
    </row>
    <row r="114" spans="1:24" ht="15" customHeight="1">
      <c r="A114" s="54"/>
      <c r="B114" s="54"/>
      <c r="C114" s="54"/>
      <c r="D114" s="54"/>
      <c r="E114" s="45"/>
      <c r="F114" s="18"/>
      <c r="G114" s="18"/>
      <c r="H114" s="55"/>
      <c r="I114" s="18"/>
      <c r="J114" s="18"/>
      <c r="K114" s="18"/>
      <c r="L114" s="18"/>
      <c r="M114" s="18"/>
      <c r="N114" s="18"/>
      <c r="O114" s="18"/>
      <c r="P114" s="18"/>
      <c r="Q114" s="11"/>
      <c r="R114" s="11"/>
      <c r="S114" s="11"/>
      <c r="T114" s="11"/>
      <c r="X114" s="21"/>
    </row>
    <row r="115" spans="1:24" ht="15" customHeight="1">
      <c r="A115" s="54"/>
      <c r="B115" s="54"/>
      <c r="C115" s="54"/>
      <c r="D115" s="54"/>
      <c r="E115" s="45"/>
      <c r="F115" s="18"/>
      <c r="G115" s="18"/>
      <c r="H115" s="55"/>
      <c r="I115" s="18"/>
      <c r="J115" s="18"/>
      <c r="K115" s="18"/>
      <c r="L115" s="18"/>
      <c r="M115" s="18"/>
      <c r="N115" s="18"/>
      <c r="O115" s="18"/>
      <c r="P115" s="18"/>
      <c r="Q115" s="11"/>
      <c r="R115" s="11"/>
      <c r="S115" s="11"/>
      <c r="T115" s="11"/>
      <c r="X115" s="21"/>
    </row>
    <row r="116" spans="1:24" ht="15" customHeight="1">
      <c r="A116" s="54"/>
      <c r="B116" s="54"/>
      <c r="C116" s="54"/>
      <c r="D116" s="54"/>
      <c r="E116" s="45"/>
      <c r="F116" s="18"/>
      <c r="G116" s="18"/>
      <c r="H116" s="55"/>
      <c r="I116" s="18"/>
      <c r="J116" s="18"/>
      <c r="K116" s="18"/>
      <c r="L116" s="18"/>
      <c r="M116" s="18"/>
      <c r="N116" s="18"/>
      <c r="O116" s="18"/>
      <c r="P116" s="18"/>
      <c r="Q116" s="11"/>
      <c r="R116" s="11"/>
      <c r="S116" s="11"/>
      <c r="T116" s="11"/>
      <c r="X116" s="21"/>
    </row>
    <row r="117" spans="1:24" ht="15" customHeight="1">
      <c r="A117" s="54"/>
      <c r="B117" s="54"/>
      <c r="C117" s="54"/>
      <c r="D117" s="54"/>
      <c r="E117" s="45"/>
      <c r="F117" s="18"/>
      <c r="G117" s="18"/>
      <c r="H117" s="55"/>
      <c r="I117" s="18"/>
      <c r="J117" s="18"/>
      <c r="K117" s="18"/>
      <c r="L117" s="18"/>
      <c r="M117" s="18"/>
      <c r="N117" s="18"/>
      <c r="O117" s="18"/>
      <c r="P117" s="18"/>
      <c r="Q117" s="11"/>
      <c r="R117" s="11"/>
      <c r="S117" s="11"/>
      <c r="T117" s="11"/>
      <c r="X117" s="21"/>
    </row>
    <row r="118" spans="1:24" ht="15" customHeight="1">
      <c r="A118" s="54"/>
      <c r="B118" s="54"/>
      <c r="C118" s="54"/>
      <c r="D118" s="54"/>
      <c r="E118" s="45"/>
      <c r="F118" s="18"/>
      <c r="G118" s="18"/>
      <c r="H118" s="55"/>
      <c r="I118" s="18"/>
      <c r="J118" s="18"/>
      <c r="K118" s="18"/>
      <c r="L118" s="18"/>
      <c r="M118" s="18"/>
      <c r="N118" s="18"/>
      <c r="O118" s="18"/>
      <c r="P118" s="18"/>
      <c r="Q118" s="11"/>
      <c r="R118" s="11"/>
      <c r="S118" s="11"/>
      <c r="T118" s="11"/>
      <c r="X118" s="21"/>
    </row>
    <row r="119" spans="1:24" ht="15" customHeight="1">
      <c r="A119" s="54"/>
      <c r="B119" s="54"/>
      <c r="C119" s="54"/>
      <c r="D119" s="54"/>
      <c r="E119" s="45"/>
      <c r="F119" s="18"/>
      <c r="G119" s="18"/>
      <c r="H119" s="55"/>
      <c r="I119" s="18"/>
      <c r="J119" s="18"/>
      <c r="K119" s="18"/>
      <c r="L119" s="18"/>
      <c r="M119" s="18"/>
      <c r="N119" s="18"/>
      <c r="O119" s="18"/>
      <c r="P119" s="18"/>
      <c r="Q119" s="11"/>
      <c r="R119" s="11"/>
      <c r="S119" s="11"/>
      <c r="T119" s="11"/>
      <c r="X119" s="21"/>
    </row>
    <row r="120" spans="1:24" ht="15" customHeight="1">
      <c r="A120" s="54"/>
      <c r="B120" s="54"/>
      <c r="C120" s="54"/>
      <c r="D120" s="54"/>
      <c r="E120" s="45"/>
      <c r="F120" s="18"/>
      <c r="G120" s="18"/>
      <c r="H120" s="55"/>
      <c r="I120" s="18"/>
      <c r="J120" s="18"/>
      <c r="K120" s="18"/>
      <c r="L120" s="18"/>
      <c r="M120" s="18"/>
      <c r="N120" s="18"/>
      <c r="O120" s="18"/>
      <c r="P120" s="18"/>
      <c r="Q120" s="11"/>
      <c r="R120" s="11"/>
      <c r="S120" s="11"/>
      <c r="T120" s="11"/>
      <c r="X120" s="21"/>
    </row>
    <row r="121" spans="1:24" ht="15" customHeight="1">
      <c r="A121" s="54"/>
      <c r="B121" s="54"/>
      <c r="C121" s="54"/>
      <c r="D121" s="54"/>
      <c r="E121" s="45"/>
      <c r="F121" s="18"/>
      <c r="G121" s="18"/>
      <c r="H121" s="55"/>
      <c r="I121" s="18"/>
      <c r="J121" s="18"/>
      <c r="K121" s="18"/>
      <c r="L121" s="18"/>
      <c r="M121" s="18"/>
      <c r="N121" s="18"/>
      <c r="O121" s="18"/>
      <c r="P121" s="18"/>
      <c r="Q121" s="11"/>
      <c r="R121" s="11"/>
      <c r="S121" s="11"/>
      <c r="T121" s="11"/>
      <c r="X121" s="21"/>
    </row>
    <row r="122" spans="1:24" ht="15" customHeight="1">
      <c r="A122" s="54"/>
      <c r="B122" s="54"/>
      <c r="C122" s="54"/>
      <c r="D122" s="54"/>
      <c r="E122" s="45"/>
      <c r="F122" s="18"/>
      <c r="G122" s="18"/>
      <c r="H122" s="55"/>
      <c r="I122" s="18"/>
      <c r="J122" s="18"/>
      <c r="K122" s="18"/>
      <c r="L122" s="18"/>
      <c r="M122" s="18"/>
      <c r="N122" s="18"/>
      <c r="O122" s="18"/>
      <c r="P122" s="18"/>
      <c r="Q122" s="11"/>
      <c r="R122" s="11"/>
      <c r="S122" s="11"/>
      <c r="T122" s="11"/>
      <c r="X122" s="21"/>
    </row>
    <row r="123" spans="1:24" ht="15" customHeight="1">
      <c r="A123" s="54"/>
      <c r="B123" s="54"/>
      <c r="C123" s="54"/>
      <c r="D123" s="54"/>
      <c r="E123" s="45"/>
      <c r="F123" s="18"/>
      <c r="G123" s="18"/>
      <c r="H123" s="55"/>
      <c r="I123" s="18"/>
      <c r="J123" s="18"/>
      <c r="K123" s="18"/>
      <c r="L123" s="18"/>
      <c r="M123" s="18"/>
      <c r="N123" s="18"/>
      <c r="O123" s="18"/>
      <c r="P123" s="18"/>
      <c r="Q123" s="11"/>
      <c r="R123" s="11"/>
      <c r="S123" s="11"/>
      <c r="T123" s="11"/>
      <c r="X123" s="21"/>
    </row>
    <row r="124" spans="1:24" ht="15" customHeight="1">
      <c r="A124" s="54"/>
      <c r="B124" s="54"/>
      <c r="C124" s="54"/>
      <c r="D124" s="54"/>
      <c r="E124" s="45"/>
      <c r="F124" s="18"/>
      <c r="G124" s="18"/>
      <c r="H124" s="55"/>
      <c r="I124" s="18"/>
      <c r="J124" s="18"/>
      <c r="K124" s="18"/>
      <c r="L124" s="18"/>
      <c r="M124" s="18"/>
      <c r="N124" s="18"/>
      <c r="O124" s="18"/>
      <c r="P124" s="18"/>
      <c r="Q124" s="11"/>
      <c r="R124" s="11"/>
      <c r="S124" s="11"/>
      <c r="T124" s="11"/>
      <c r="X124" s="21"/>
    </row>
    <row r="125" spans="1:24" ht="15" customHeight="1">
      <c r="A125" s="54"/>
      <c r="B125" s="54"/>
      <c r="C125" s="54"/>
      <c r="D125" s="54"/>
      <c r="E125" s="45"/>
      <c r="F125" s="18"/>
      <c r="G125" s="18"/>
      <c r="H125" s="55"/>
      <c r="I125" s="18"/>
      <c r="J125" s="18"/>
      <c r="K125" s="18"/>
      <c r="L125" s="18"/>
      <c r="M125" s="18"/>
      <c r="N125" s="18"/>
      <c r="O125" s="18"/>
      <c r="P125" s="18"/>
      <c r="Q125" s="11"/>
      <c r="R125" s="11"/>
      <c r="S125" s="11"/>
      <c r="T125" s="11"/>
      <c r="X125" s="21"/>
    </row>
    <row r="126" spans="1:24" ht="15" customHeight="1">
      <c r="A126" s="54"/>
      <c r="B126" s="54"/>
      <c r="C126" s="54"/>
      <c r="D126" s="54"/>
      <c r="E126" s="45"/>
      <c r="F126" s="18"/>
      <c r="G126" s="18"/>
      <c r="H126" s="55"/>
      <c r="I126" s="18"/>
      <c r="J126" s="18"/>
      <c r="K126" s="18"/>
      <c r="L126" s="18"/>
      <c r="M126" s="18"/>
      <c r="N126" s="18"/>
      <c r="O126" s="18"/>
      <c r="P126" s="18"/>
      <c r="Q126" s="11"/>
      <c r="R126" s="11"/>
      <c r="S126" s="11"/>
      <c r="T126" s="11"/>
      <c r="X126" s="21"/>
    </row>
    <row r="127" spans="1:24" ht="15" customHeight="1">
      <c r="A127" s="54"/>
      <c r="B127" s="54"/>
      <c r="C127" s="54"/>
      <c r="D127" s="54"/>
      <c r="E127" s="45"/>
      <c r="F127" s="18"/>
      <c r="G127" s="18"/>
      <c r="H127" s="55"/>
      <c r="I127" s="18"/>
      <c r="J127" s="18"/>
      <c r="K127" s="18"/>
      <c r="L127" s="18"/>
      <c r="M127" s="18"/>
      <c r="N127" s="18"/>
      <c r="O127" s="18"/>
      <c r="P127" s="18"/>
      <c r="Q127" s="11"/>
      <c r="R127" s="11"/>
      <c r="S127" s="11"/>
      <c r="T127" s="11"/>
      <c r="X127" s="21"/>
    </row>
    <row r="128" spans="1:24" ht="15" customHeight="1">
      <c r="A128" s="54"/>
      <c r="B128" s="54"/>
      <c r="C128" s="54"/>
      <c r="D128" s="54"/>
      <c r="E128" s="45"/>
      <c r="F128" s="18"/>
      <c r="G128" s="18"/>
      <c r="H128" s="55"/>
      <c r="I128" s="18"/>
      <c r="J128" s="18"/>
      <c r="K128" s="18"/>
      <c r="L128" s="18"/>
      <c r="M128" s="18"/>
      <c r="N128" s="18"/>
      <c r="O128" s="18"/>
      <c r="P128" s="18"/>
      <c r="Q128" s="11"/>
      <c r="R128" s="11"/>
      <c r="S128" s="11"/>
      <c r="T128" s="11"/>
      <c r="X128" s="21"/>
    </row>
    <row r="129" spans="1:29" ht="15" customHeight="1">
      <c r="A129" s="54"/>
      <c r="B129" s="54"/>
      <c r="C129" s="54"/>
      <c r="D129" s="54"/>
      <c r="E129" s="45"/>
      <c r="F129" s="18"/>
      <c r="G129" s="18"/>
      <c r="H129" s="55"/>
      <c r="I129" s="18"/>
      <c r="J129" s="18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X129" s="21"/>
      <c r="AC129" s="10"/>
    </row>
    <row r="130" spans="1:38" ht="27" customHeight="1">
      <c r="A130" s="215" t="s">
        <v>192</v>
      </c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62"/>
      <c r="M130" s="62"/>
      <c r="N130" s="20" t="s">
        <v>40</v>
      </c>
      <c r="O130" s="20"/>
      <c r="P130" s="20" t="s">
        <v>39</v>
      </c>
      <c r="Q130" s="20">
        <v>-3</v>
      </c>
      <c r="R130" s="173"/>
      <c r="S130" s="173"/>
      <c r="T130" s="204"/>
      <c r="U130" s="204"/>
      <c r="V130" s="204"/>
      <c r="W130" s="26"/>
      <c r="X130" s="26"/>
      <c r="Y130" s="27"/>
      <c r="Z130" s="28"/>
      <c r="AA130" s="26"/>
      <c r="AB130" s="26"/>
      <c r="AC130" s="30"/>
      <c r="AD130" s="175"/>
      <c r="AE130" s="176"/>
      <c r="AF130" s="26"/>
      <c r="AG130" s="26"/>
      <c r="AH130" s="27"/>
      <c r="AI130" s="28"/>
      <c r="AJ130" s="26"/>
      <c r="AK130" s="26"/>
      <c r="AL130" s="30"/>
    </row>
    <row r="131" spans="1:38" ht="15" customHeight="1">
      <c r="A131" s="6" t="s">
        <v>31</v>
      </c>
      <c r="B131" s="6"/>
      <c r="C131" s="153" t="s">
        <v>28</v>
      </c>
      <c r="D131" s="153"/>
      <c r="E131" s="153"/>
      <c r="F131" s="153"/>
      <c r="G131" s="4">
        <v>2.8</v>
      </c>
      <c r="H131" s="6"/>
      <c r="I131" s="2"/>
      <c r="J131" s="14" t="s">
        <v>35</v>
      </c>
      <c r="K131" s="14"/>
      <c r="L131" s="14"/>
      <c r="M131" s="14"/>
      <c r="N131" s="14" t="s">
        <v>36</v>
      </c>
      <c r="O131" s="14"/>
      <c r="P131" s="16" t="e">
        <f>0.65*POWER(P134,0.4)/25</f>
        <v>#REF!</v>
      </c>
      <c r="Q131" s="6" t="s">
        <v>37</v>
      </c>
      <c r="R131" s="17" t="e">
        <f>P131*25</f>
        <v>#REF!</v>
      </c>
      <c r="S131" s="6" t="s">
        <v>38</v>
      </c>
      <c r="T131" s="204"/>
      <c r="U131" s="204"/>
      <c r="V131" s="204"/>
      <c r="W131" s="26"/>
      <c r="X131" s="26"/>
      <c r="Y131" s="27"/>
      <c r="Z131" s="28"/>
      <c r="AA131" s="26"/>
      <c r="AB131" s="26"/>
      <c r="AC131" s="30"/>
      <c r="AD131" s="165"/>
      <c r="AE131" s="165"/>
      <c r="AF131" s="27"/>
      <c r="AG131" s="27"/>
      <c r="AH131" s="27"/>
      <c r="AI131" s="28"/>
      <c r="AJ131" s="26"/>
      <c r="AK131" s="26"/>
      <c r="AL131" s="30"/>
    </row>
    <row r="132" spans="1:38" ht="24.75" customHeight="1">
      <c r="A132" s="6" t="s">
        <v>32</v>
      </c>
      <c r="B132" s="6"/>
      <c r="C132" s="153" t="s">
        <v>24</v>
      </c>
      <c r="D132" s="153"/>
      <c r="E132" s="173"/>
      <c r="F132" s="153"/>
      <c r="G132" s="5" t="e">
        <f>G138/#REF!</f>
        <v>#REF!</v>
      </c>
      <c r="H132" s="14" t="s">
        <v>25</v>
      </c>
      <c r="I132" s="2"/>
      <c r="J132" s="25" t="s">
        <v>29</v>
      </c>
      <c r="K132" s="236" t="s">
        <v>186</v>
      </c>
      <c r="L132" s="236"/>
      <c r="M132" s="236"/>
      <c r="N132" s="200"/>
      <c r="O132" s="200"/>
      <c r="P132" s="56" t="e">
        <f>(#REF!*((#REF!/10)*POWER(G138,0.065))*((#REF!-Q130)/23)*(POWER((G131*G132*G133*G134),0.607))*(POWER(G132,0.33)))/(POWER(G134,1.66))</f>
        <v>#REF!</v>
      </c>
      <c r="Q132" s="179" t="s">
        <v>55</v>
      </c>
      <c r="R132" s="173"/>
      <c r="S132" s="179"/>
      <c r="T132" s="204"/>
      <c r="U132" s="204"/>
      <c r="V132" s="204"/>
      <c r="W132" s="26"/>
      <c r="X132" s="26"/>
      <c r="Y132" s="27"/>
      <c r="Z132" s="28"/>
      <c r="AA132" s="26"/>
      <c r="AB132" s="26"/>
      <c r="AC132" s="30"/>
      <c r="AD132" s="165"/>
      <c r="AE132" s="165"/>
      <c r="AF132" s="27"/>
      <c r="AG132" s="27"/>
      <c r="AH132" s="27"/>
      <c r="AI132" s="28"/>
      <c r="AJ132" s="29"/>
      <c r="AK132" s="29"/>
      <c r="AL132" s="31"/>
    </row>
    <row r="133" spans="1:38" ht="24.75" customHeight="1">
      <c r="A133" s="6" t="s">
        <v>33</v>
      </c>
      <c r="B133" s="6"/>
      <c r="C133" s="153" t="s">
        <v>26</v>
      </c>
      <c r="D133" s="153"/>
      <c r="E133" s="173"/>
      <c r="F133" s="153"/>
      <c r="G133" s="5" t="e">
        <f>#REF!</f>
        <v>#REF!</v>
      </c>
      <c r="H133" s="43" t="s">
        <v>60</v>
      </c>
      <c r="I133" s="2"/>
      <c r="J133" s="14" t="s">
        <v>29</v>
      </c>
      <c r="K133" s="214" t="s">
        <v>185</v>
      </c>
      <c r="L133" s="214"/>
      <c r="M133" s="214"/>
      <c r="N133" s="200"/>
      <c r="O133" s="200"/>
      <c r="P133" s="17" t="e">
        <f>1.16*P132</f>
        <v>#REF!</v>
      </c>
      <c r="Q133" s="153" t="s">
        <v>56</v>
      </c>
      <c r="R133" s="173"/>
      <c r="S133" s="153"/>
      <c r="T133" s="204"/>
      <c r="U133" s="204"/>
      <c r="V133" s="204"/>
      <c r="W133" s="26"/>
      <c r="X133" s="26"/>
      <c r="Y133" s="27"/>
      <c r="Z133" s="28"/>
      <c r="AA133" s="26"/>
      <c r="AB133" s="26"/>
      <c r="AC133" s="30"/>
      <c r="AD133" s="165"/>
      <c r="AE133" s="165"/>
      <c r="AF133" s="27"/>
      <c r="AG133" s="27"/>
      <c r="AH133" s="27"/>
      <c r="AI133" s="28"/>
      <c r="AJ133" s="29"/>
      <c r="AK133" s="29"/>
      <c r="AL133" s="31"/>
    </row>
    <row r="134" spans="1:38" ht="27.75" customHeight="1">
      <c r="A134" s="6" t="s">
        <v>34</v>
      </c>
      <c r="B134" s="6"/>
      <c r="C134" s="153" t="s">
        <v>41</v>
      </c>
      <c r="D134" s="153"/>
      <c r="E134" s="173"/>
      <c r="F134" s="153"/>
      <c r="G134" s="5">
        <f>G135*G136*G137</f>
        <v>48</v>
      </c>
      <c r="H134" s="14" t="s">
        <v>23</v>
      </c>
      <c r="I134" s="2"/>
      <c r="J134" s="15" t="s">
        <v>27</v>
      </c>
      <c r="K134" s="199" t="s">
        <v>184</v>
      </c>
      <c r="L134" s="199"/>
      <c r="M134" s="199"/>
      <c r="N134" s="200"/>
      <c r="O134" s="200"/>
      <c r="P134" s="8" t="e">
        <f>P133*G138</f>
        <v>#REF!</v>
      </c>
      <c r="Q134" s="192" t="s">
        <v>30</v>
      </c>
      <c r="R134" s="173"/>
      <c r="S134" s="192"/>
      <c r="T134" s="204"/>
      <c r="U134" s="204"/>
      <c r="V134" s="204"/>
      <c r="W134" s="26"/>
      <c r="X134" s="26"/>
      <c r="Y134" s="27"/>
      <c r="Z134" s="28"/>
      <c r="AA134" s="26"/>
      <c r="AB134" s="26"/>
      <c r="AC134" s="30"/>
      <c r="AD134" s="165"/>
      <c r="AE134" s="165"/>
      <c r="AF134" s="27"/>
      <c r="AG134" s="27"/>
      <c r="AH134" s="27"/>
      <c r="AI134" s="28"/>
      <c r="AJ134" s="29"/>
      <c r="AK134" s="29"/>
      <c r="AL134" s="31"/>
    </row>
    <row r="135" spans="1:38" ht="15" customHeight="1">
      <c r="A135" s="4" t="s">
        <v>47</v>
      </c>
      <c r="B135" s="4"/>
      <c r="C135" s="160" t="s">
        <v>43</v>
      </c>
      <c r="D135" s="160"/>
      <c r="E135" s="160"/>
      <c r="F135" s="160"/>
      <c r="G135" s="4">
        <v>16</v>
      </c>
      <c r="H135" s="4" t="s">
        <v>25</v>
      </c>
      <c r="I135" s="185" t="s">
        <v>61</v>
      </c>
      <c r="J135" s="201" t="s">
        <v>62</v>
      </c>
      <c r="K135" s="201"/>
      <c r="L135" s="201"/>
      <c r="M135" s="201"/>
      <c r="N135" s="201"/>
      <c r="O135" s="201"/>
      <c r="P135" s="211"/>
      <c r="Q135" s="195"/>
      <c r="R135" s="195"/>
      <c r="S135" s="173"/>
      <c r="T135" s="204"/>
      <c r="U135" s="204"/>
      <c r="V135" s="204"/>
      <c r="W135" s="26"/>
      <c r="X135" s="26"/>
      <c r="Y135" s="27"/>
      <c r="Z135" s="28"/>
      <c r="AA135" s="26"/>
      <c r="AB135" s="26"/>
      <c r="AC135" s="30"/>
      <c r="AD135" s="165"/>
      <c r="AE135" s="165"/>
      <c r="AF135" s="27"/>
      <c r="AG135" s="27"/>
      <c r="AH135" s="27"/>
      <c r="AI135" s="28"/>
      <c r="AJ135" s="29"/>
      <c r="AK135" s="29"/>
      <c r="AL135" s="31"/>
    </row>
    <row r="136" spans="1:38" ht="15" customHeight="1">
      <c r="A136" s="4" t="s">
        <v>44</v>
      </c>
      <c r="B136" s="4"/>
      <c r="C136" s="160" t="s">
        <v>45</v>
      </c>
      <c r="D136" s="160"/>
      <c r="E136" s="160"/>
      <c r="F136" s="160"/>
      <c r="G136" s="4">
        <v>1</v>
      </c>
      <c r="H136" s="4"/>
      <c r="I136" s="186"/>
      <c r="J136" s="187" t="s">
        <v>53</v>
      </c>
      <c r="K136" s="187"/>
      <c r="L136" s="187"/>
      <c r="M136" s="187"/>
      <c r="N136" s="187"/>
      <c r="O136" s="14"/>
      <c r="P136" s="173"/>
      <c r="Q136" s="173"/>
      <c r="R136" s="173"/>
      <c r="S136" s="173"/>
      <c r="T136" s="204"/>
      <c r="U136" s="204"/>
      <c r="V136" s="204"/>
      <c r="W136" s="26"/>
      <c r="X136" s="26"/>
      <c r="Y136" s="27"/>
      <c r="Z136" s="28"/>
      <c r="AA136" s="26"/>
      <c r="AB136" s="26"/>
      <c r="AC136" s="30"/>
      <c r="AD136" s="165"/>
      <c r="AE136" s="165"/>
      <c r="AF136" s="27"/>
      <c r="AG136" s="27"/>
      <c r="AH136" s="27"/>
      <c r="AI136" s="28"/>
      <c r="AJ136" s="29"/>
      <c r="AK136" s="29"/>
      <c r="AL136" s="31"/>
    </row>
    <row r="137" spans="1:38" ht="15" customHeight="1">
      <c r="A137" s="4" t="s">
        <v>42</v>
      </c>
      <c r="B137" s="4"/>
      <c r="C137" s="160" t="s">
        <v>46</v>
      </c>
      <c r="D137" s="160"/>
      <c r="E137" s="160"/>
      <c r="F137" s="160"/>
      <c r="G137" s="4">
        <v>3</v>
      </c>
      <c r="H137" s="4" t="s">
        <v>48</v>
      </c>
      <c r="I137" s="186"/>
      <c r="J137" s="182" t="s">
        <v>54</v>
      </c>
      <c r="K137" s="182"/>
      <c r="L137" s="182"/>
      <c r="M137" s="182"/>
      <c r="N137" s="182"/>
      <c r="O137" s="24"/>
      <c r="P137" s="173"/>
      <c r="Q137" s="173"/>
      <c r="R137" s="173"/>
      <c r="S137" s="173"/>
      <c r="T137" s="204"/>
      <c r="U137" s="204"/>
      <c r="V137" s="204"/>
      <c r="W137" s="26"/>
      <c r="X137" s="26"/>
      <c r="Y137" s="27"/>
      <c r="Z137" s="28"/>
      <c r="AA137" s="26"/>
      <c r="AB137" s="26"/>
      <c r="AC137" s="30"/>
      <c r="AD137" s="165"/>
      <c r="AE137" s="165"/>
      <c r="AF137" s="27"/>
      <c r="AG137" s="27"/>
      <c r="AH137" s="27"/>
      <c r="AI137" s="28"/>
      <c r="AJ137" s="29"/>
      <c r="AK137" s="29"/>
      <c r="AL137" s="31"/>
    </row>
    <row r="138" spans="1:38" ht="15" customHeight="1">
      <c r="A138" s="5" t="s">
        <v>57</v>
      </c>
      <c r="B138" s="5"/>
      <c r="C138" s="172" t="s">
        <v>58</v>
      </c>
      <c r="D138" s="172"/>
      <c r="E138" s="172"/>
      <c r="F138" s="172"/>
      <c r="G138" s="5">
        <f>G135*G136</f>
        <v>16</v>
      </c>
      <c r="H138" s="5" t="s">
        <v>25</v>
      </c>
      <c r="I138" s="24">
        <v>2</v>
      </c>
      <c r="J138" s="183" t="s">
        <v>59</v>
      </c>
      <c r="K138" s="183"/>
      <c r="L138" s="183"/>
      <c r="M138" s="183"/>
      <c r="N138" s="183"/>
      <c r="O138" s="25"/>
      <c r="P138" s="173"/>
      <c r="Q138" s="173"/>
      <c r="R138" s="173"/>
      <c r="S138" s="173"/>
      <c r="T138" s="204"/>
      <c r="U138" s="204"/>
      <c r="V138" s="204"/>
      <c r="W138" s="26"/>
      <c r="X138" s="26"/>
      <c r="Y138" s="27"/>
      <c r="Z138" s="28"/>
      <c r="AA138" s="26"/>
      <c r="AB138" s="26"/>
      <c r="AC138" s="30"/>
      <c r="AD138" s="165"/>
      <c r="AE138" s="165"/>
      <c r="AF138" s="27"/>
      <c r="AG138" s="27"/>
      <c r="AH138" s="27"/>
      <c r="AI138" s="28"/>
      <c r="AJ138" s="29"/>
      <c r="AK138" s="29"/>
      <c r="AL138" s="30"/>
    </row>
    <row r="139" spans="1:38" ht="15" customHeight="1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3"/>
      <c r="U139" s="213"/>
      <c r="V139" s="213"/>
      <c r="W139" s="26"/>
      <c r="X139" s="26"/>
      <c r="Y139" s="27"/>
      <c r="Z139" s="28"/>
      <c r="AA139" s="26"/>
      <c r="AB139" s="26"/>
      <c r="AC139" s="30"/>
      <c r="AD139" s="165"/>
      <c r="AE139" s="165"/>
      <c r="AF139" s="27"/>
      <c r="AG139" s="27"/>
      <c r="AH139" s="27"/>
      <c r="AI139" s="28"/>
      <c r="AJ139" s="29"/>
      <c r="AK139" s="29"/>
      <c r="AL139" s="30"/>
    </row>
    <row r="140" spans="1:38" ht="36" customHeight="1">
      <c r="A140" s="188" t="s">
        <v>187</v>
      </c>
      <c r="B140" s="188"/>
      <c r="C140" s="188"/>
      <c r="D140" s="188"/>
      <c r="E140" s="188"/>
      <c r="F140" s="188"/>
      <c r="G140" s="189"/>
      <c r="H140" s="189"/>
      <c r="I140" s="189"/>
      <c r="J140" s="189"/>
      <c r="K140" s="184" t="s">
        <v>188</v>
      </c>
      <c r="L140" s="184"/>
      <c r="M140" s="184"/>
      <c r="N140" s="179"/>
      <c r="O140" s="13"/>
      <c r="P140" s="179"/>
      <c r="Q140" s="173"/>
      <c r="R140" s="204"/>
      <c r="S140" s="204"/>
      <c r="T140" s="204"/>
      <c r="U140" s="204"/>
      <c r="V140" s="204"/>
      <c r="W140" s="26"/>
      <c r="X140" s="26"/>
      <c r="Y140" s="27"/>
      <c r="Z140" s="28"/>
      <c r="AA140" s="26"/>
      <c r="AB140" s="26"/>
      <c r="AC140" s="30"/>
      <c r="AD140" s="165"/>
      <c r="AE140" s="165"/>
      <c r="AF140" s="27"/>
      <c r="AG140" s="27"/>
      <c r="AH140" s="27"/>
      <c r="AI140" s="28"/>
      <c r="AJ140" s="29"/>
      <c r="AK140" s="29"/>
      <c r="AL140" s="30"/>
    </row>
    <row r="141" spans="1:38" ht="39.75" customHeight="1">
      <c r="A141" s="173"/>
      <c r="B141" s="173"/>
      <c r="C141" s="173"/>
      <c r="D141" s="2"/>
      <c r="E141" s="174" t="s">
        <v>189</v>
      </c>
      <c r="F141" s="153"/>
      <c r="G141" s="153"/>
      <c r="H141" s="181" t="s">
        <v>190</v>
      </c>
      <c r="I141" s="180"/>
      <c r="J141" s="180"/>
      <c r="K141" s="178" t="s">
        <v>191</v>
      </c>
      <c r="L141" s="178"/>
      <c r="M141" s="178"/>
      <c r="N141" s="177"/>
      <c r="O141" s="63"/>
      <c r="P141" s="173"/>
      <c r="Q141" s="204"/>
      <c r="R141" s="204"/>
      <c r="S141" s="204"/>
      <c r="T141" s="204"/>
      <c r="U141" s="204"/>
      <c r="V141" s="204"/>
      <c r="W141" s="26"/>
      <c r="X141" s="26"/>
      <c r="Y141" s="27"/>
      <c r="Z141" s="28"/>
      <c r="AA141" s="26"/>
      <c r="AB141" s="26"/>
      <c r="AC141" s="30"/>
      <c r="AD141" s="165"/>
      <c r="AE141" s="165"/>
      <c r="AF141" s="27"/>
      <c r="AG141" s="27"/>
      <c r="AH141" s="27"/>
      <c r="AI141" s="28"/>
      <c r="AJ141" s="29"/>
      <c r="AK141" s="29"/>
      <c r="AL141" s="30"/>
    </row>
    <row r="142" spans="1:38" ht="15" customHeight="1">
      <c r="A142" s="172" t="s">
        <v>49</v>
      </c>
      <c r="B142" s="172"/>
      <c r="C142" s="172"/>
      <c r="D142" s="5"/>
      <c r="E142" s="153">
        <v>1560</v>
      </c>
      <c r="F142" s="153"/>
      <c r="G142" s="153"/>
      <c r="H142" s="180">
        <v>9</v>
      </c>
      <c r="I142" s="180"/>
      <c r="J142" s="180"/>
      <c r="K142" s="177">
        <v>0.8</v>
      </c>
      <c r="L142" s="177"/>
      <c r="M142" s="177"/>
      <c r="N142" s="177"/>
      <c r="O142" s="63"/>
      <c r="P142" s="13"/>
      <c r="Q142" s="204"/>
      <c r="R142" s="204"/>
      <c r="S142" s="204"/>
      <c r="T142" s="204"/>
      <c r="U142" s="204"/>
      <c r="V142" s="204"/>
      <c r="W142" s="26"/>
      <c r="X142" s="26"/>
      <c r="Y142" s="27"/>
      <c r="Z142" s="28"/>
      <c r="AA142" s="26"/>
      <c r="AB142" s="26"/>
      <c r="AC142" s="30"/>
      <c r="AD142" s="165"/>
      <c r="AE142" s="165"/>
      <c r="AF142" s="27"/>
      <c r="AG142" s="27"/>
      <c r="AH142" s="27"/>
      <c r="AI142" s="28"/>
      <c r="AJ142" s="29"/>
      <c r="AK142" s="29"/>
      <c r="AL142" s="30"/>
    </row>
    <row r="143" spans="1:38" ht="15" customHeight="1">
      <c r="A143" s="172" t="s">
        <v>50</v>
      </c>
      <c r="B143" s="172"/>
      <c r="C143" s="172"/>
      <c r="D143" s="5"/>
      <c r="E143" s="153">
        <v>2260</v>
      </c>
      <c r="F143" s="153"/>
      <c r="G143" s="153"/>
      <c r="H143" s="180">
        <v>7</v>
      </c>
      <c r="I143" s="180"/>
      <c r="J143" s="180"/>
      <c r="K143" s="177">
        <v>0.6</v>
      </c>
      <c r="L143" s="177"/>
      <c r="M143" s="177"/>
      <c r="N143" s="177"/>
      <c r="O143" s="63"/>
      <c r="P143" s="13"/>
      <c r="Q143" s="204"/>
      <c r="R143" s="204"/>
      <c r="S143" s="204"/>
      <c r="T143" s="204"/>
      <c r="U143" s="204"/>
      <c r="V143" s="204"/>
      <c r="W143" s="26"/>
      <c r="X143" s="26"/>
      <c r="Y143" s="27"/>
      <c r="Z143" s="28"/>
      <c r="AA143" s="26"/>
      <c r="AB143" s="26"/>
      <c r="AC143" s="30"/>
      <c r="AD143" s="165"/>
      <c r="AE143" s="165"/>
      <c r="AF143" s="27"/>
      <c r="AG143" s="27"/>
      <c r="AH143" s="27"/>
      <c r="AI143" s="28"/>
      <c r="AJ143" s="29"/>
      <c r="AK143" s="29"/>
      <c r="AL143" s="30"/>
    </row>
    <row r="144" spans="1:38" ht="15" customHeight="1">
      <c r="A144" s="172" t="s">
        <v>51</v>
      </c>
      <c r="B144" s="172"/>
      <c r="C144" s="172"/>
      <c r="D144" s="5"/>
      <c r="E144" s="153">
        <v>2940</v>
      </c>
      <c r="F144" s="153"/>
      <c r="G144" s="153"/>
      <c r="H144" s="180">
        <v>7</v>
      </c>
      <c r="I144" s="180"/>
      <c r="J144" s="180"/>
      <c r="K144" s="177">
        <v>0.5</v>
      </c>
      <c r="L144" s="177"/>
      <c r="M144" s="177"/>
      <c r="N144" s="177"/>
      <c r="O144" s="63"/>
      <c r="P144" s="13"/>
      <c r="Q144" s="204"/>
      <c r="R144" s="204"/>
      <c r="S144" s="204"/>
      <c r="T144" s="204"/>
      <c r="U144" s="204"/>
      <c r="V144" s="204"/>
      <c r="W144" s="26"/>
      <c r="X144" s="26"/>
      <c r="Y144" s="27"/>
      <c r="Z144" s="28"/>
      <c r="AA144" s="26"/>
      <c r="AB144" s="26"/>
      <c r="AC144" s="30"/>
      <c r="AD144" s="165"/>
      <c r="AE144" s="165"/>
      <c r="AF144" s="27"/>
      <c r="AG144" s="27"/>
      <c r="AH144" s="27"/>
      <c r="AI144" s="28"/>
      <c r="AJ144" s="29"/>
      <c r="AK144" s="29"/>
      <c r="AL144" s="30"/>
    </row>
    <row r="145" spans="1:38" ht="15" customHeight="1">
      <c r="A145" s="172" t="s">
        <v>52</v>
      </c>
      <c r="B145" s="172"/>
      <c r="C145" s="172"/>
      <c r="D145" s="5"/>
      <c r="E145" s="153">
        <v>4020</v>
      </c>
      <c r="F145" s="153"/>
      <c r="G145" s="153"/>
      <c r="H145" s="180">
        <v>6</v>
      </c>
      <c r="I145" s="180"/>
      <c r="J145" s="180"/>
      <c r="K145" s="177">
        <v>0.4</v>
      </c>
      <c r="L145" s="177"/>
      <c r="M145" s="177"/>
      <c r="N145" s="177"/>
      <c r="O145" s="63"/>
      <c r="P145" s="13"/>
      <c r="Q145" s="204"/>
      <c r="R145" s="204"/>
      <c r="S145" s="204"/>
      <c r="T145" s="204"/>
      <c r="U145" s="204"/>
      <c r="V145" s="204"/>
      <c r="W145" s="26"/>
      <c r="X145" s="26"/>
      <c r="Y145" s="27"/>
      <c r="Z145" s="28"/>
      <c r="AA145" s="26"/>
      <c r="AB145" s="26"/>
      <c r="AC145" s="30"/>
      <c r="AD145" s="165"/>
      <c r="AE145" s="165"/>
      <c r="AF145" s="27"/>
      <c r="AG145" s="27"/>
      <c r="AH145" s="27"/>
      <c r="AI145" s="28"/>
      <c r="AJ145" s="29"/>
      <c r="AK145" s="29"/>
      <c r="AL145" s="30"/>
    </row>
    <row r="146" spans="1:38" ht="1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53"/>
      <c r="R146" s="53"/>
      <c r="S146" s="53"/>
      <c r="T146" s="53"/>
      <c r="U146" s="61"/>
      <c r="V146" s="61"/>
      <c r="W146" s="26"/>
      <c r="X146" s="26"/>
      <c r="Y146" s="27"/>
      <c r="Z146" s="28"/>
      <c r="AA146" s="26"/>
      <c r="AB146" s="26"/>
      <c r="AC146" s="30"/>
      <c r="AD146" s="52"/>
      <c r="AE146" s="52"/>
      <c r="AF146" s="27"/>
      <c r="AG146" s="27"/>
      <c r="AH146" s="27"/>
      <c r="AI146" s="28"/>
      <c r="AJ146" s="29"/>
      <c r="AK146" s="29"/>
      <c r="AL146" s="30"/>
    </row>
    <row r="147" spans="1:38" ht="15" customHeight="1">
      <c r="A147" s="209"/>
      <c r="B147" s="209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61"/>
      <c r="W147" s="26"/>
      <c r="X147" s="26"/>
      <c r="Y147" s="27"/>
      <c r="Z147" s="28"/>
      <c r="AA147" s="26"/>
      <c r="AB147" s="26"/>
      <c r="AC147" s="30"/>
      <c r="AD147" s="52"/>
      <c r="AE147" s="52"/>
      <c r="AF147" s="27"/>
      <c r="AG147" s="27"/>
      <c r="AH147" s="27"/>
      <c r="AI147" s="28"/>
      <c r="AJ147" s="29"/>
      <c r="AK147" s="29"/>
      <c r="AL147" s="30"/>
    </row>
    <row r="148" spans="1:38" ht="15" customHeight="1">
      <c r="A148" s="18"/>
      <c r="B148" s="18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61"/>
      <c r="W148" s="26"/>
      <c r="X148" s="26"/>
      <c r="Y148" s="27"/>
      <c r="Z148" s="28"/>
      <c r="AA148" s="26"/>
      <c r="AB148" s="26"/>
      <c r="AC148" s="30"/>
      <c r="AD148" s="52"/>
      <c r="AE148" s="52"/>
      <c r="AF148" s="27"/>
      <c r="AG148" s="27"/>
      <c r="AH148" s="27"/>
      <c r="AI148" s="28"/>
      <c r="AJ148" s="29"/>
      <c r="AK148" s="29"/>
      <c r="AL148" s="30"/>
    </row>
    <row r="149" spans="1:38" ht="15" customHeight="1">
      <c r="A149" s="18"/>
      <c r="B149" s="18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61"/>
      <c r="W149" s="26"/>
      <c r="X149" s="26"/>
      <c r="Y149" s="27"/>
      <c r="Z149" s="28"/>
      <c r="AA149" s="26"/>
      <c r="AB149" s="26"/>
      <c r="AC149" s="30"/>
      <c r="AD149" s="52"/>
      <c r="AE149" s="52"/>
      <c r="AF149" s="27"/>
      <c r="AG149" s="27"/>
      <c r="AH149" s="27"/>
      <c r="AI149" s="28"/>
      <c r="AJ149" s="29"/>
      <c r="AK149" s="29"/>
      <c r="AL149" s="30"/>
    </row>
    <row r="150" spans="1:22" ht="15" customHeight="1">
      <c r="A150" s="167" t="s">
        <v>181</v>
      </c>
      <c r="B150" s="167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9"/>
      <c r="O150" s="169"/>
      <c r="P150" s="169"/>
      <c r="Q150" s="169"/>
      <c r="R150" s="169"/>
      <c r="S150" s="169"/>
      <c r="T150" s="169"/>
      <c r="U150" s="169"/>
      <c r="V150" s="51"/>
    </row>
    <row r="151" spans="1:21" ht="35.25" customHeight="1">
      <c r="A151" s="170" t="s">
        <v>63</v>
      </c>
      <c r="B151" s="170"/>
      <c r="C151" s="171"/>
      <c r="D151" s="68"/>
      <c r="E151" s="57" t="s">
        <v>179</v>
      </c>
      <c r="F151" s="58" t="s">
        <v>64</v>
      </c>
      <c r="G151" s="59" t="s">
        <v>182</v>
      </c>
      <c r="H151" s="60" t="s">
        <v>63</v>
      </c>
      <c r="I151" s="57" t="s">
        <v>179</v>
      </c>
      <c r="J151" s="58" t="s">
        <v>64</v>
      </c>
      <c r="K151" s="59" t="s">
        <v>182</v>
      </c>
      <c r="L151" s="59"/>
      <c r="M151" s="59"/>
      <c r="N151" s="170" t="s">
        <v>63</v>
      </c>
      <c r="O151" s="170"/>
      <c r="P151" s="57" t="s">
        <v>179</v>
      </c>
      <c r="Q151" s="58" t="s">
        <v>64</v>
      </c>
      <c r="R151" s="59" t="s">
        <v>182</v>
      </c>
      <c r="S151" s="60" t="s">
        <v>63</v>
      </c>
      <c r="T151" s="58" t="s">
        <v>64</v>
      </c>
      <c r="U151" s="59" t="s">
        <v>183</v>
      </c>
    </row>
    <row r="152" spans="1:21" ht="15" customHeight="1">
      <c r="A152" s="155" t="s">
        <v>65</v>
      </c>
      <c r="B152" s="155"/>
      <c r="C152" s="166"/>
      <c r="D152" s="69"/>
      <c r="E152" s="34">
        <v>0</v>
      </c>
      <c r="F152" s="38">
        <v>38</v>
      </c>
      <c r="G152" s="15">
        <v>1</v>
      </c>
      <c r="H152" s="33" t="s">
        <v>180</v>
      </c>
      <c r="I152" s="35">
        <v>-3</v>
      </c>
      <c r="J152" s="37">
        <v>33</v>
      </c>
      <c r="K152" s="40">
        <v>2</v>
      </c>
      <c r="L152" s="40"/>
      <c r="M152" s="40"/>
      <c r="N152" s="155" t="s">
        <v>90</v>
      </c>
      <c r="O152" s="155"/>
      <c r="P152" s="34">
        <v>-18</v>
      </c>
      <c r="Q152" s="38">
        <v>38</v>
      </c>
      <c r="R152" s="15">
        <v>3</v>
      </c>
      <c r="S152" s="32" t="s">
        <v>117</v>
      </c>
      <c r="T152" s="38">
        <v>32</v>
      </c>
      <c r="U152" s="41">
        <v>4</v>
      </c>
    </row>
    <row r="153" spans="1:21" ht="15" customHeight="1">
      <c r="A153" s="155" t="s">
        <v>66</v>
      </c>
      <c r="B153" s="155"/>
      <c r="C153" s="156"/>
      <c r="D153" s="66"/>
      <c r="E153" s="34">
        <v>-3</v>
      </c>
      <c r="F153" s="38">
        <v>35</v>
      </c>
      <c r="G153" s="15">
        <v>2</v>
      </c>
      <c r="H153" s="32" t="s">
        <v>93</v>
      </c>
      <c r="I153" s="34">
        <v>0</v>
      </c>
      <c r="J153" s="38">
        <v>37</v>
      </c>
      <c r="K153" s="41">
        <v>1</v>
      </c>
      <c r="L153" s="41"/>
      <c r="M153" s="41"/>
      <c r="N153" s="155" t="s">
        <v>91</v>
      </c>
      <c r="O153" s="155"/>
      <c r="P153" s="34">
        <v>-9</v>
      </c>
      <c r="Q153" s="38">
        <v>34</v>
      </c>
      <c r="R153" s="15">
        <v>3</v>
      </c>
      <c r="S153" s="32" t="s">
        <v>118</v>
      </c>
      <c r="T153" s="38">
        <v>32</v>
      </c>
      <c r="U153" s="41">
        <v>2</v>
      </c>
    </row>
    <row r="154" spans="1:21" ht="20.25" customHeight="1">
      <c r="A154" s="155" t="s">
        <v>67</v>
      </c>
      <c r="B154" s="155"/>
      <c r="C154" s="156"/>
      <c r="D154" s="66"/>
      <c r="E154" s="34">
        <v>-12</v>
      </c>
      <c r="F154" s="38">
        <v>34</v>
      </c>
      <c r="G154" s="15">
        <v>3</v>
      </c>
      <c r="H154" s="32" t="s">
        <v>94</v>
      </c>
      <c r="I154" s="34">
        <v>-27</v>
      </c>
      <c r="J154" s="38">
        <v>30</v>
      </c>
      <c r="K154" s="41">
        <v>4</v>
      </c>
      <c r="L154" s="41"/>
      <c r="M154" s="41"/>
      <c r="N154" s="157" t="s">
        <v>125</v>
      </c>
      <c r="O154" s="157"/>
      <c r="P154" s="25"/>
      <c r="Q154" s="14"/>
      <c r="R154" s="15">
        <v>1</v>
      </c>
      <c r="S154" s="32" t="s">
        <v>92</v>
      </c>
      <c r="T154" s="38">
        <v>37</v>
      </c>
      <c r="U154" s="41"/>
    </row>
    <row r="155" spans="1:21" ht="22.5" customHeight="1">
      <c r="A155" s="155" t="s">
        <v>68</v>
      </c>
      <c r="B155" s="155"/>
      <c r="C155" s="156"/>
      <c r="D155" s="66"/>
      <c r="E155" s="34">
        <v>-12</v>
      </c>
      <c r="F155" s="38">
        <v>34</v>
      </c>
      <c r="G155" s="15">
        <v>3</v>
      </c>
      <c r="H155" s="32" t="s">
        <v>95</v>
      </c>
      <c r="I155" s="34">
        <v>-12</v>
      </c>
      <c r="J155" s="38">
        <v>34</v>
      </c>
      <c r="K155" s="41">
        <v>4</v>
      </c>
      <c r="L155" s="41"/>
      <c r="M155" s="41"/>
      <c r="N155" s="157" t="s">
        <v>126</v>
      </c>
      <c r="O155" s="157"/>
      <c r="P155" s="25"/>
      <c r="Q155" s="14"/>
      <c r="R155" s="15">
        <v>1</v>
      </c>
      <c r="S155" s="32" t="s">
        <v>119</v>
      </c>
      <c r="T155" s="39"/>
      <c r="U155" s="23">
        <v>1</v>
      </c>
    </row>
    <row r="156" spans="1:21" ht="15" customHeight="1">
      <c r="A156" s="155" t="s">
        <v>69</v>
      </c>
      <c r="B156" s="155"/>
      <c r="C156" s="156"/>
      <c r="D156" s="66"/>
      <c r="E156" s="34">
        <v>0</v>
      </c>
      <c r="F156" s="38">
        <v>37</v>
      </c>
      <c r="G156" s="15">
        <v>1</v>
      </c>
      <c r="H156" s="32" t="s">
        <v>96</v>
      </c>
      <c r="I156" s="34">
        <v>-15</v>
      </c>
      <c r="J156" s="38">
        <v>36</v>
      </c>
      <c r="K156" s="41">
        <v>4</v>
      </c>
      <c r="L156" s="41"/>
      <c r="M156" s="41"/>
      <c r="N156" s="157" t="s">
        <v>127</v>
      </c>
      <c r="O156" s="157"/>
      <c r="P156" s="25"/>
      <c r="Q156" s="14"/>
      <c r="R156" s="15">
        <v>1</v>
      </c>
      <c r="S156" s="32" t="s">
        <v>120</v>
      </c>
      <c r="T156" s="39"/>
      <c r="U156" s="23">
        <v>1</v>
      </c>
    </row>
    <row r="157" spans="1:21" ht="15" customHeight="1">
      <c r="A157" s="155" t="s">
        <v>70</v>
      </c>
      <c r="B157" s="155"/>
      <c r="C157" s="156"/>
      <c r="D157" s="66"/>
      <c r="E157" s="34">
        <v>3</v>
      </c>
      <c r="F157" s="38">
        <v>39</v>
      </c>
      <c r="G157" s="15">
        <v>1</v>
      </c>
      <c r="H157" s="32" t="s">
        <v>97</v>
      </c>
      <c r="I157" s="34">
        <v>-12</v>
      </c>
      <c r="J157" s="38">
        <v>35</v>
      </c>
      <c r="K157" s="41">
        <v>3</v>
      </c>
      <c r="L157" s="41"/>
      <c r="M157" s="41"/>
      <c r="N157" s="157" t="s">
        <v>128</v>
      </c>
      <c r="O157" s="157"/>
      <c r="P157" s="25"/>
      <c r="Q157" s="14"/>
      <c r="R157" s="15">
        <v>1</v>
      </c>
      <c r="S157" s="32" t="s">
        <v>121</v>
      </c>
      <c r="T157" s="39"/>
      <c r="U157" s="23">
        <v>1</v>
      </c>
    </row>
    <row r="158" spans="1:21" ht="15" customHeight="1">
      <c r="A158" s="155" t="s">
        <v>71</v>
      </c>
      <c r="B158" s="155"/>
      <c r="C158" s="156"/>
      <c r="D158" s="66"/>
      <c r="E158" s="34">
        <v>-3</v>
      </c>
      <c r="F158" s="38">
        <v>40</v>
      </c>
      <c r="G158" s="15">
        <v>1</v>
      </c>
      <c r="H158" s="32" t="s">
        <v>98</v>
      </c>
      <c r="I158" s="34">
        <v>-3</v>
      </c>
      <c r="J158" s="38">
        <v>36</v>
      </c>
      <c r="K158" s="41">
        <v>2</v>
      </c>
      <c r="L158" s="41"/>
      <c r="M158" s="41"/>
      <c r="N158" s="157" t="s">
        <v>129</v>
      </c>
      <c r="O158" s="157"/>
      <c r="P158" s="25"/>
      <c r="Q158" s="14"/>
      <c r="R158" s="15">
        <v>2</v>
      </c>
      <c r="S158" s="32" t="s">
        <v>122</v>
      </c>
      <c r="T158" s="39"/>
      <c r="U158" s="23">
        <v>1</v>
      </c>
    </row>
    <row r="159" spans="1:21" ht="15" customHeight="1">
      <c r="A159" s="155" t="s">
        <v>72</v>
      </c>
      <c r="B159" s="155"/>
      <c r="C159" s="156"/>
      <c r="D159" s="66"/>
      <c r="E159" s="34">
        <v>-3</v>
      </c>
      <c r="F159" s="38">
        <v>34</v>
      </c>
      <c r="G159" s="15">
        <v>2</v>
      </c>
      <c r="H159" s="32" t="s">
        <v>99</v>
      </c>
      <c r="I159" s="34">
        <v>-12</v>
      </c>
      <c r="J159" s="38">
        <v>34</v>
      </c>
      <c r="K159" s="41">
        <v>3</v>
      </c>
      <c r="L159" s="41"/>
      <c r="M159" s="41"/>
      <c r="N159" s="157" t="s">
        <v>130</v>
      </c>
      <c r="O159" s="157"/>
      <c r="P159" s="25"/>
      <c r="Q159" s="14"/>
      <c r="R159" s="15">
        <v>2</v>
      </c>
      <c r="S159" s="32" t="s">
        <v>123</v>
      </c>
      <c r="T159" s="39"/>
      <c r="U159" s="23">
        <v>1</v>
      </c>
    </row>
    <row r="160" spans="1:21" ht="15" customHeight="1">
      <c r="A160" s="155" t="s">
        <v>73</v>
      </c>
      <c r="B160" s="155"/>
      <c r="C160" s="156"/>
      <c r="D160" s="66"/>
      <c r="E160" s="34">
        <v>-8</v>
      </c>
      <c r="F160" s="38">
        <v>34</v>
      </c>
      <c r="G160" s="15">
        <v>3</v>
      </c>
      <c r="H160" s="32" t="s">
        <v>100</v>
      </c>
      <c r="I160" s="34">
        <v>-12</v>
      </c>
      <c r="J160" s="38">
        <v>33</v>
      </c>
      <c r="K160" s="41">
        <v>3</v>
      </c>
      <c r="L160" s="41"/>
      <c r="M160" s="41"/>
      <c r="N160" s="157" t="s">
        <v>131</v>
      </c>
      <c r="O160" s="157"/>
      <c r="P160" s="25"/>
      <c r="Q160" s="14"/>
      <c r="R160" s="15">
        <v>2</v>
      </c>
      <c r="S160" s="32" t="s">
        <v>124</v>
      </c>
      <c r="T160" s="39"/>
      <c r="U160" s="23">
        <v>1</v>
      </c>
    </row>
    <row r="161" spans="1:21" ht="15" customHeight="1">
      <c r="A161" s="155" t="s">
        <v>74</v>
      </c>
      <c r="B161" s="155"/>
      <c r="C161" s="156"/>
      <c r="D161" s="66"/>
      <c r="E161" s="34">
        <v>-9</v>
      </c>
      <c r="F161" s="38">
        <v>34</v>
      </c>
      <c r="G161" s="15">
        <v>3</v>
      </c>
      <c r="H161" s="32" t="s">
        <v>101</v>
      </c>
      <c r="I161" s="34">
        <v>-12</v>
      </c>
      <c r="J161" s="38">
        <v>38</v>
      </c>
      <c r="K161" s="41">
        <v>3</v>
      </c>
      <c r="L161" s="41"/>
      <c r="M161" s="41"/>
      <c r="N161" s="157" t="s">
        <v>132</v>
      </c>
      <c r="O161" s="157"/>
      <c r="P161" s="25"/>
      <c r="Q161" s="14"/>
      <c r="R161" s="15">
        <v>2</v>
      </c>
      <c r="S161" s="32" t="s">
        <v>135</v>
      </c>
      <c r="T161" s="39"/>
      <c r="U161" s="41">
        <v>2</v>
      </c>
    </row>
    <row r="162" spans="1:21" ht="15" customHeight="1">
      <c r="A162" s="155" t="s">
        <v>75</v>
      </c>
      <c r="B162" s="155"/>
      <c r="C162" s="156"/>
      <c r="D162" s="66"/>
      <c r="E162" s="34">
        <v>-15</v>
      </c>
      <c r="F162" s="38">
        <v>33</v>
      </c>
      <c r="G162" s="15">
        <v>3</v>
      </c>
      <c r="H162" s="32" t="s">
        <v>102</v>
      </c>
      <c r="I162" s="34">
        <v>-3</v>
      </c>
      <c r="J162" s="38">
        <v>40</v>
      </c>
      <c r="K162" s="41">
        <v>2</v>
      </c>
      <c r="L162" s="41"/>
      <c r="M162" s="41"/>
      <c r="N162" s="157" t="s">
        <v>133</v>
      </c>
      <c r="O162" s="157"/>
      <c r="P162" s="25"/>
      <c r="Q162" s="14"/>
      <c r="R162" s="15">
        <v>2</v>
      </c>
      <c r="S162" s="32" t="s">
        <v>136</v>
      </c>
      <c r="T162" s="39"/>
      <c r="U162" s="41">
        <v>2</v>
      </c>
    </row>
    <row r="163" spans="1:21" ht="15" customHeight="1">
      <c r="A163" s="155" t="s">
        <v>76</v>
      </c>
      <c r="B163" s="155"/>
      <c r="C163" s="156"/>
      <c r="D163" s="66"/>
      <c r="E163" s="34">
        <v>-9</v>
      </c>
      <c r="F163" s="38">
        <v>36</v>
      </c>
      <c r="G163" s="15">
        <v>3</v>
      </c>
      <c r="H163" s="32" t="s">
        <v>103</v>
      </c>
      <c r="I163" s="34">
        <v>-6</v>
      </c>
      <c r="J163" s="38">
        <v>38</v>
      </c>
      <c r="K163" s="41">
        <v>2</v>
      </c>
      <c r="L163" s="41"/>
      <c r="M163" s="41"/>
      <c r="N163" s="157" t="s">
        <v>134</v>
      </c>
      <c r="O163" s="157"/>
      <c r="P163" s="25"/>
      <c r="Q163" s="14"/>
      <c r="R163" s="15">
        <v>2</v>
      </c>
      <c r="S163" s="32" t="s">
        <v>138</v>
      </c>
      <c r="T163" s="39"/>
      <c r="U163" s="41">
        <v>2</v>
      </c>
    </row>
    <row r="164" spans="1:21" ht="15" customHeight="1">
      <c r="A164" s="155" t="s">
        <v>77</v>
      </c>
      <c r="B164" s="155"/>
      <c r="C164" s="156"/>
      <c r="D164" s="66"/>
      <c r="E164" s="34">
        <v>-6</v>
      </c>
      <c r="F164" s="38">
        <v>37</v>
      </c>
      <c r="G164" s="15">
        <v>2</v>
      </c>
      <c r="H164" s="32" t="s">
        <v>104</v>
      </c>
      <c r="I164" s="34">
        <v>3</v>
      </c>
      <c r="J164" s="38">
        <v>35</v>
      </c>
      <c r="K164" s="41">
        <v>1</v>
      </c>
      <c r="L164" s="41"/>
      <c r="M164" s="41"/>
      <c r="N164" s="157" t="s">
        <v>137</v>
      </c>
      <c r="O164" s="157"/>
      <c r="P164" s="25"/>
      <c r="Q164" s="14"/>
      <c r="R164" s="15">
        <v>2</v>
      </c>
      <c r="S164" s="32" t="s">
        <v>139</v>
      </c>
      <c r="T164" s="39"/>
      <c r="U164" s="41">
        <v>2</v>
      </c>
    </row>
    <row r="165" spans="1:21" ht="15" customHeight="1">
      <c r="A165" s="155" t="s">
        <v>78</v>
      </c>
      <c r="B165" s="155"/>
      <c r="C165" s="156"/>
      <c r="D165" s="66"/>
      <c r="E165" s="34">
        <v>-3</v>
      </c>
      <c r="F165" s="38">
        <v>34</v>
      </c>
      <c r="G165" s="15">
        <v>2</v>
      </c>
      <c r="H165" s="32" t="s">
        <v>105</v>
      </c>
      <c r="I165" s="34">
        <v>-3</v>
      </c>
      <c r="J165" s="38">
        <v>37</v>
      </c>
      <c r="K165" s="41">
        <v>2</v>
      </c>
      <c r="L165" s="41"/>
      <c r="M165" s="41"/>
      <c r="N165" s="157" t="s">
        <v>140</v>
      </c>
      <c r="O165" s="157"/>
      <c r="P165" s="25"/>
      <c r="Q165" s="14"/>
      <c r="R165" s="15">
        <v>2</v>
      </c>
      <c r="S165" s="32" t="s">
        <v>142</v>
      </c>
      <c r="T165" s="39"/>
      <c r="U165" s="41">
        <v>2</v>
      </c>
    </row>
    <row r="166" spans="1:21" ht="15" customHeight="1">
      <c r="A166" s="155" t="s">
        <v>79</v>
      </c>
      <c r="B166" s="155"/>
      <c r="C166" s="156"/>
      <c r="D166" s="66"/>
      <c r="E166" s="34">
        <v>-15</v>
      </c>
      <c r="F166" s="38">
        <v>37</v>
      </c>
      <c r="G166" s="15">
        <v>3</v>
      </c>
      <c r="H166" s="32" t="s">
        <v>106</v>
      </c>
      <c r="I166" s="34">
        <v>-15</v>
      </c>
      <c r="J166" s="38">
        <v>34</v>
      </c>
      <c r="K166" s="41">
        <v>3</v>
      </c>
      <c r="L166" s="41"/>
      <c r="M166" s="41"/>
      <c r="N166" s="157" t="s">
        <v>141</v>
      </c>
      <c r="O166" s="157"/>
      <c r="P166" s="25"/>
      <c r="Q166" s="14"/>
      <c r="R166" s="15">
        <v>2</v>
      </c>
      <c r="S166" s="32" t="s">
        <v>143</v>
      </c>
      <c r="T166" s="39"/>
      <c r="U166" s="41">
        <v>2</v>
      </c>
    </row>
    <row r="167" spans="1:21" ht="15" customHeight="1">
      <c r="A167" s="155" t="s">
        <v>80</v>
      </c>
      <c r="B167" s="155"/>
      <c r="C167" s="156"/>
      <c r="D167" s="66"/>
      <c r="E167" s="34">
        <v>-15</v>
      </c>
      <c r="F167" s="38">
        <v>35</v>
      </c>
      <c r="G167" s="15">
        <v>3</v>
      </c>
      <c r="H167" s="32" t="s">
        <v>107</v>
      </c>
      <c r="I167" s="34">
        <v>-3</v>
      </c>
      <c r="J167" s="38">
        <v>30</v>
      </c>
      <c r="K167" s="41">
        <v>2</v>
      </c>
      <c r="L167" s="41"/>
      <c r="M167" s="41"/>
      <c r="N167" s="157" t="s">
        <v>145</v>
      </c>
      <c r="O167" s="157"/>
      <c r="P167" s="25"/>
      <c r="Q167" s="14"/>
      <c r="R167" s="15">
        <v>2</v>
      </c>
      <c r="S167" s="32" t="s">
        <v>144</v>
      </c>
      <c r="T167" s="39"/>
      <c r="U167" s="41">
        <v>2</v>
      </c>
    </row>
    <row r="168" spans="1:21" ht="15" customHeight="1">
      <c r="A168" s="155" t="s">
        <v>81</v>
      </c>
      <c r="B168" s="155"/>
      <c r="C168" s="156"/>
      <c r="D168" s="66"/>
      <c r="E168" s="34">
        <v>-6</v>
      </c>
      <c r="F168" s="38">
        <v>38</v>
      </c>
      <c r="G168" s="15">
        <v>2</v>
      </c>
      <c r="H168" s="32" t="s">
        <v>108</v>
      </c>
      <c r="I168" s="34">
        <v>-3</v>
      </c>
      <c r="J168" s="38">
        <v>32</v>
      </c>
      <c r="K168" s="41">
        <v>2</v>
      </c>
      <c r="L168" s="41"/>
      <c r="M168" s="41"/>
      <c r="N168" s="157" t="s">
        <v>146</v>
      </c>
      <c r="O168" s="157"/>
      <c r="P168" s="25"/>
      <c r="Q168" s="14"/>
      <c r="R168" s="15">
        <v>2</v>
      </c>
      <c r="S168" s="32" t="s">
        <v>148</v>
      </c>
      <c r="T168" s="39"/>
      <c r="U168" s="41">
        <v>3</v>
      </c>
    </row>
    <row r="169" spans="1:21" ht="15" customHeight="1">
      <c r="A169" s="155" t="s">
        <v>82</v>
      </c>
      <c r="B169" s="155"/>
      <c r="C169" s="156"/>
      <c r="D169" s="66"/>
      <c r="E169" s="34">
        <v>-9</v>
      </c>
      <c r="F169" s="38">
        <v>43</v>
      </c>
      <c r="G169" s="15">
        <v>2</v>
      </c>
      <c r="H169" s="32" t="s">
        <v>109</v>
      </c>
      <c r="I169" s="34">
        <v>-9</v>
      </c>
      <c r="J169" s="38">
        <v>40</v>
      </c>
      <c r="K169" s="41">
        <v>2</v>
      </c>
      <c r="L169" s="41"/>
      <c r="M169" s="41"/>
      <c r="N169" s="157" t="s">
        <v>147</v>
      </c>
      <c r="O169" s="157"/>
      <c r="P169" s="25"/>
      <c r="Q169" s="14"/>
      <c r="R169" s="15">
        <v>3</v>
      </c>
      <c r="S169" s="32" t="s">
        <v>149</v>
      </c>
      <c r="T169" s="39"/>
      <c r="U169" s="41">
        <v>3</v>
      </c>
    </row>
    <row r="170" spans="1:21" ht="15" customHeight="1">
      <c r="A170" s="155" t="s">
        <v>83</v>
      </c>
      <c r="B170" s="155"/>
      <c r="C170" s="156"/>
      <c r="D170" s="66"/>
      <c r="E170" s="34">
        <v>-9</v>
      </c>
      <c r="F170" s="38">
        <v>37</v>
      </c>
      <c r="G170" s="15">
        <v>2</v>
      </c>
      <c r="H170" s="32" t="s">
        <v>110</v>
      </c>
      <c r="I170" s="34">
        <v>-3</v>
      </c>
      <c r="J170" s="38">
        <v>30</v>
      </c>
      <c r="K170" s="41">
        <v>2</v>
      </c>
      <c r="L170" s="41"/>
      <c r="M170" s="41"/>
      <c r="N170" s="157" t="s">
        <v>151</v>
      </c>
      <c r="O170" s="157"/>
      <c r="P170" s="25"/>
      <c r="Q170" s="14"/>
      <c r="R170" s="15">
        <v>3</v>
      </c>
      <c r="S170" s="32" t="s">
        <v>150</v>
      </c>
      <c r="T170" s="39"/>
      <c r="U170" s="41">
        <v>3</v>
      </c>
    </row>
    <row r="171" spans="1:21" ht="15" customHeight="1">
      <c r="A171" s="155" t="s">
        <v>84</v>
      </c>
      <c r="B171" s="155"/>
      <c r="C171" s="156"/>
      <c r="D171" s="66"/>
      <c r="E171" s="34">
        <v>-12</v>
      </c>
      <c r="F171" s="38">
        <v>38</v>
      </c>
      <c r="G171" s="15">
        <v>3</v>
      </c>
      <c r="H171" s="32" t="s">
        <v>111</v>
      </c>
      <c r="I171" s="34">
        <v>-18</v>
      </c>
      <c r="J171" s="38">
        <v>33</v>
      </c>
      <c r="K171" s="41">
        <v>4</v>
      </c>
      <c r="L171" s="41"/>
      <c r="M171" s="41"/>
      <c r="N171" s="157" t="s">
        <v>152</v>
      </c>
      <c r="O171" s="157"/>
      <c r="P171" s="25"/>
      <c r="Q171" s="14"/>
      <c r="R171" s="15">
        <v>3</v>
      </c>
      <c r="S171" s="32" t="s">
        <v>153</v>
      </c>
      <c r="T171" s="39"/>
      <c r="U171" s="41">
        <v>3</v>
      </c>
    </row>
    <row r="172" spans="1:21" ht="15" customHeight="1">
      <c r="A172" s="155" t="s">
        <v>85</v>
      </c>
      <c r="B172" s="155"/>
      <c r="C172" s="156"/>
      <c r="D172" s="66"/>
      <c r="E172" s="34">
        <v>-18</v>
      </c>
      <c r="F172" s="38">
        <v>36</v>
      </c>
      <c r="G172" s="15">
        <v>4</v>
      </c>
      <c r="H172" s="32" t="s">
        <v>112</v>
      </c>
      <c r="I172" s="34">
        <v>-6</v>
      </c>
      <c r="J172" s="38">
        <v>43</v>
      </c>
      <c r="K172" s="41">
        <v>2</v>
      </c>
      <c r="L172" s="41"/>
      <c r="M172" s="41"/>
      <c r="N172" s="157" t="s">
        <v>154</v>
      </c>
      <c r="O172" s="157"/>
      <c r="P172" s="25"/>
      <c r="Q172" s="14"/>
      <c r="R172" s="15">
        <v>3</v>
      </c>
      <c r="S172" s="32" t="s">
        <v>155</v>
      </c>
      <c r="T172" s="39"/>
      <c r="U172" s="41">
        <v>3</v>
      </c>
    </row>
    <row r="173" spans="1:21" ht="15" customHeight="1">
      <c r="A173" s="155" t="s">
        <v>86</v>
      </c>
      <c r="B173" s="155"/>
      <c r="C173" s="156"/>
      <c r="D173" s="66"/>
      <c r="E173" s="34">
        <v>-21</v>
      </c>
      <c r="F173" s="38">
        <v>30</v>
      </c>
      <c r="G173" s="15">
        <v>4</v>
      </c>
      <c r="H173" s="32" t="s">
        <v>113</v>
      </c>
      <c r="I173" s="34">
        <v>-6</v>
      </c>
      <c r="J173" s="38">
        <v>33</v>
      </c>
      <c r="K173" s="41">
        <v>2</v>
      </c>
      <c r="L173" s="41"/>
      <c r="M173" s="41"/>
      <c r="N173" s="157" t="s">
        <v>156</v>
      </c>
      <c r="O173" s="157"/>
      <c r="P173" s="25"/>
      <c r="Q173" s="14"/>
      <c r="R173" s="15">
        <v>3</v>
      </c>
      <c r="S173" s="32" t="s">
        <v>157</v>
      </c>
      <c r="T173" s="39"/>
      <c r="U173" s="41">
        <v>3</v>
      </c>
    </row>
    <row r="174" spans="1:21" ht="15" customHeight="1">
      <c r="A174" s="155" t="s">
        <v>87</v>
      </c>
      <c r="B174" s="155"/>
      <c r="C174" s="156"/>
      <c r="D174" s="66"/>
      <c r="E174" s="34">
        <v>-3</v>
      </c>
      <c r="F174" s="38">
        <v>34</v>
      </c>
      <c r="G174" s="15">
        <v>3</v>
      </c>
      <c r="H174" s="32" t="s">
        <v>114</v>
      </c>
      <c r="I174" s="34">
        <v>-3</v>
      </c>
      <c r="J174" s="38">
        <v>31</v>
      </c>
      <c r="K174" s="41">
        <v>2</v>
      </c>
      <c r="L174" s="41"/>
      <c r="M174" s="41"/>
      <c r="N174" s="157" t="s">
        <v>159</v>
      </c>
      <c r="O174" s="157"/>
      <c r="P174" s="25"/>
      <c r="Q174" s="14"/>
      <c r="R174" s="15">
        <v>3</v>
      </c>
      <c r="S174" s="32" t="s">
        <v>158</v>
      </c>
      <c r="T174" s="39"/>
      <c r="U174" s="41">
        <v>3</v>
      </c>
    </row>
    <row r="175" spans="1:21" ht="15" customHeight="1">
      <c r="A175" s="155" t="s">
        <v>88</v>
      </c>
      <c r="B175" s="155"/>
      <c r="C175" s="156"/>
      <c r="D175" s="66"/>
      <c r="E175" s="34">
        <v>-12</v>
      </c>
      <c r="F175" s="38">
        <v>39</v>
      </c>
      <c r="G175" s="15">
        <v>2</v>
      </c>
      <c r="H175" s="32" t="s">
        <v>115</v>
      </c>
      <c r="I175" s="34">
        <v>-9</v>
      </c>
      <c r="J175" s="38">
        <v>35</v>
      </c>
      <c r="K175" s="41">
        <v>3</v>
      </c>
      <c r="L175" s="41"/>
      <c r="M175" s="41"/>
      <c r="N175" s="157" t="s">
        <v>160</v>
      </c>
      <c r="O175" s="157"/>
      <c r="P175" s="25"/>
      <c r="Q175" s="14"/>
      <c r="R175" s="15">
        <v>3</v>
      </c>
      <c r="S175" s="32" t="s">
        <v>163</v>
      </c>
      <c r="T175" s="39"/>
      <c r="U175" s="41">
        <v>4</v>
      </c>
    </row>
    <row r="176" spans="1:21" ht="15" customHeight="1">
      <c r="A176" s="155" t="s">
        <v>89</v>
      </c>
      <c r="B176" s="155"/>
      <c r="C176" s="156"/>
      <c r="D176" s="66"/>
      <c r="E176" s="34">
        <v>-3</v>
      </c>
      <c r="F176" s="38">
        <v>29</v>
      </c>
      <c r="G176" s="15">
        <v>2</v>
      </c>
      <c r="H176" s="32" t="s">
        <v>116</v>
      </c>
      <c r="I176" s="34">
        <v>-15</v>
      </c>
      <c r="J176" s="38">
        <v>33</v>
      </c>
      <c r="K176" s="41">
        <v>4</v>
      </c>
      <c r="L176" s="41"/>
      <c r="M176" s="41"/>
      <c r="N176" s="157" t="s">
        <v>161</v>
      </c>
      <c r="O176" s="157"/>
      <c r="P176" s="25"/>
      <c r="Q176" s="14"/>
      <c r="R176" s="15">
        <v>3</v>
      </c>
      <c r="S176" s="32" t="s">
        <v>165</v>
      </c>
      <c r="T176" s="39"/>
      <c r="U176" s="41">
        <v>4</v>
      </c>
    </row>
    <row r="177" spans="1:21" ht="15" customHeight="1">
      <c r="A177" s="157" t="s">
        <v>170</v>
      </c>
      <c r="B177" s="157"/>
      <c r="C177" s="164"/>
      <c r="D177" s="70"/>
      <c r="E177" s="25"/>
      <c r="F177" s="14"/>
      <c r="G177" s="15">
        <v>4</v>
      </c>
      <c r="H177" s="32" t="s">
        <v>171</v>
      </c>
      <c r="I177" s="36"/>
      <c r="J177" s="39"/>
      <c r="K177" s="41">
        <v>4</v>
      </c>
      <c r="L177" s="41"/>
      <c r="M177" s="41"/>
      <c r="N177" s="157" t="s">
        <v>162</v>
      </c>
      <c r="O177" s="157"/>
      <c r="P177" s="25"/>
      <c r="Q177" s="14"/>
      <c r="R177" s="15">
        <v>3</v>
      </c>
      <c r="S177" s="32" t="s">
        <v>166</v>
      </c>
      <c r="T177" s="39"/>
      <c r="U177" s="41">
        <v>4</v>
      </c>
    </row>
    <row r="178" spans="1:21" ht="15" customHeight="1">
      <c r="A178" s="157" t="s">
        <v>173</v>
      </c>
      <c r="B178" s="157"/>
      <c r="C178" s="157"/>
      <c r="D178" s="67"/>
      <c r="E178" s="25"/>
      <c r="F178" s="14"/>
      <c r="G178" s="15">
        <v>4</v>
      </c>
      <c r="H178" s="32" t="s">
        <v>172</v>
      </c>
      <c r="I178" s="36"/>
      <c r="J178" s="39"/>
      <c r="K178" s="41">
        <v>4</v>
      </c>
      <c r="L178" s="41"/>
      <c r="M178" s="41"/>
      <c r="N178" s="157" t="s">
        <v>164</v>
      </c>
      <c r="O178" s="157"/>
      <c r="P178" s="25"/>
      <c r="Q178" s="14"/>
      <c r="R178" s="15">
        <v>4</v>
      </c>
      <c r="S178" s="32" t="s">
        <v>167</v>
      </c>
      <c r="T178" s="39"/>
      <c r="U178" s="41">
        <v>4</v>
      </c>
    </row>
    <row r="179" spans="1:21" ht="15" customHeight="1">
      <c r="A179" s="157" t="s">
        <v>174</v>
      </c>
      <c r="B179" s="157"/>
      <c r="C179" s="157"/>
      <c r="D179" s="67"/>
      <c r="E179" s="25"/>
      <c r="F179" s="14"/>
      <c r="G179" s="15">
        <v>4</v>
      </c>
      <c r="H179" s="32" t="s">
        <v>176</v>
      </c>
      <c r="I179" s="36"/>
      <c r="J179" s="39"/>
      <c r="K179" s="41">
        <v>4</v>
      </c>
      <c r="L179" s="41"/>
      <c r="M179" s="41"/>
      <c r="N179" s="157" t="s">
        <v>169</v>
      </c>
      <c r="O179" s="157"/>
      <c r="P179" s="25"/>
      <c r="Q179" s="14"/>
      <c r="R179" s="15">
        <v>4</v>
      </c>
      <c r="S179" s="32" t="s">
        <v>168</v>
      </c>
      <c r="T179" s="39"/>
      <c r="U179" s="41">
        <v>4</v>
      </c>
    </row>
    <row r="180" spans="1:21" ht="15" customHeight="1">
      <c r="A180" s="157" t="s">
        <v>175</v>
      </c>
      <c r="B180" s="157"/>
      <c r="C180" s="157"/>
      <c r="D180" s="67"/>
      <c r="E180" s="25"/>
      <c r="F180" s="14"/>
      <c r="G180" s="15">
        <v>4</v>
      </c>
      <c r="H180" s="32" t="s">
        <v>177</v>
      </c>
      <c r="I180" s="36"/>
      <c r="J180" s="39"/>
      <c r="K180" s="41">
        <v>4</v>
      </c>
      <c r="L180" s="41"/>
      <c r="M180" s="41"/>
      <c r="N180" s="163" t="s">
        <v>178</v>
      </c>
      <c r="O180" s="163"/>
      <c r="P180" s="25"/>
      <c r="Q180" s="14"/>
      <c r="R180" s="15">
        <v>4</v>
      </c>
      <c r="S180" s="32"/>
      <c r="T180" s="39"/>
      <c r="U180" s="41"/>
    </row>
  </sheetData>
  <sheetProtection/>
  <mergeCells count="197">
    <mergeCell ref="A75:D75"/>
    <mergeCell ref="B64:C64"/>
    <mergeCell ref="B65:C65"/>
    <mergeCell ref="C47:O47"/>
    <mergeCell ref="A74:D74"/>
    <mergeCell ref="K132:O132"/>
    <mergeCell ref="B47:B49"/>
    <mergeCell ref="K52:S52"/>
    <mergeCell ref="N48:S48"/>
    <mergeCell ref="C52:H52"/>
    <mergeCell ref="P46:S46"/>
    <mergeCell ref="E67:F67"/>
    <mergeCell ref="F68:G68"/>
    <mergeCell ref="A54:F54"/>
    <mergeCell ref="A62:B62"/>
    <mergeCell ref="A50:E51"/>
    <mergeCell ref="B63:C63"/>
    <mergeCell ref="A147:U147"/>
    <mergeCell ref="P135:S138"/>
    <mergeCell ref="Q140:V145"/>
    <mergeCell ref="T130:V138"/>
    <mergeCell ref="A139:V139"/>
    <mergeCell ref="C136:F136"/>
    <mergeCell ref="R130:S130"/>
    <mergeCell ref="K133:O133"/>
    <mergeCell ref="A130:K130"/>
    <mergeCell ref="C133:F133"/>
    <mergeCell ref="C48:H48"/>
    <mergeCell ref="L5:L9"/>
    <mergeCell ref="L10:L11"/>
    <mergeCell ref="C5:C9"/>
    <mergeCell ref="E5:E9"/>
    <mergeCell ref="F5:F9"/>
    <mergeCell ref="D5:D9"/>
    <mergeCell ref="K10:K11"/>
    <mergeCell ref="K4:S4"/>
    <mergeCell ref="O10:O11"/>
    <mergeCell ref="Q5:Q9"/>
    <mergeCell ref="R5:R9"/>
    <mergeCell ref="N5:N9"/>
    <mergeCell ref="M5:M9"/>
    <mergeCell ref="O5:O9"/>
    <mergeCell ref="P10:P11"/>
    <mergeCell ref="S10:S11"/>
    <mergeCell ref="M10:M11"/>
    <mergeCell ref="C137:F137"/>
    <mergeCell ref="K134:O134"/>
    <mergeCell ref="J135:O135"/>
    <mergeCell ref="C135:F135"/>
    <mergeCell ref="C134:F134"/>
    <mergeCell ref="G5:G9"/>
    <mergeCell ref="J5:J9"/>
    <mergeCell ref="C131:F131"/>
    <mergeCell ref="C132:F132"/>
    <mergeCell ref="A69:F69"/>
    <mergeCell ref="Q134:S134"/>
    <mergeCell ref="Q133:S133"/>
    <mergeCell ref="Q132:S132"/>
    <mergeCell ref="Q10:Q11"/>
    <mergeCell ref="R10:R11"/>
    <mergeCell ref="I50:T51"/>
    <mergeCell ref="P47:S47"/>
    <mergeCell ref="J49:S49"/>
    <mergeCell ref="P45:S45"/>
    <mergeCell ref="I10:I11"/>
    <mergeCell ref="T10:T11"/>
    <mergeCell ref="B10:B11"/>
    <mergeCell ref="A10:A11"/>
    <mergeCell ref="C10:C11"/>
    <mergeCell ref="E10:E11"/>
    <mergeCell ref="J10:J11"/>
    <mergeCell ref="H10:H11"/>
    <mergeCell ref="D10:D11"/>
    <mergeCell ref="G10:G11"/>
    <mergeCell ref="F10:F11"/>
    <mergeCell ref="A142:C142"/>
    <mergeCell ref="A143:C143"/>
    <mergeCell ref="H141:J141"/>
    <mergeCell ref="J137:N137"/>
    <mergeCell ref="J138:N138"/>
    <mergeCell ref="K140:N140"/>
    <mergeCell ref="I135:I137"/>
    <mergeCell ref="J136:N136"/>
    <mergeCell ref="H142:J142"/>
    <mergeCell ref="A140:J140"/>
    <mergeCell ref="H145:J145"/>
    <mergeCell ref="E145:G145"/>
    <mergeCell ref="H144:J144"/>
    <mergeCell ref="E144:G144"/>
    <mergeCell ref="E142:G142"/>
    <mergeCell ref="E143:G143"/>
    <mergeCell ref="AD137:AE137"/>
    <mergeCell ref="K145:N145"/>
    <mergeCell ref="K141:N141"/>
    <mergeCell ref="K142:N142"/>
    <mergeCell ref="K143:N143"/>
    <mergeCell ref="K144:N144"/>
    <mergeCell ref="AD139:AE139"/>
    <mergeCell ref="AD140:AE140"/>
    <mergeCell ref="AD141:AE141"/>
    <mergeCell ref="AD142:AE142"/>
    <mergeCell ref="AD130:AE130"/>
    <mergeCell ref="AD131:AE131"/>
    <mergeCell ref="AD132:AE132"/>
    <mergeCell ref="AD133:AE133"/>
    <mergeCell ref="AD135:AE135"/>
    <mergeCell ref="AD136:AE136"/>
    <mergeCell ref="AD134:AE134"/>
    <mergeCell ref="N151:O151"/>
    <mergeCell ref="AD143:AE143"/>
    <mergeCell ref="AD144:AE144"/>
    <mergeCell ref="C138:F138"/>
    <mergeCell ref="A141:C141"/>
    <mergeCell ref="E141:G141"/>
    <mergeCell ref="P140:P141"/>
    <mergeCell ref="H143:J143"/>
    <mergeCell ref="A144:C144"/>
    <mergeCell ref="A145:C145"/>
    <mergeCell ref="AD138:AE138"/>
    <mergeCell ref="A152:C152"/>
    <mergeCell ref="N152:O152"/>
    <mergeCell ref="A153:C153"/>
    <mergeCell ref="N153:O153"/>
    <mergeCell ref="A154:C154"/>
    <mergeCell ref="N154:O154"/>
    <mergeCell ref="AD145:AE145"/>
    <mergeCell ref="A150:U150"/>
    <mergeCell ref="A151:C151"/>
    <mergeCell ref="A155:C155"/>
    <mergeCell ref="N155:O155"/>
    <mergeCell ref="A156:C156"/>
    <mergeCell ref="N156:O156"/>
    <mergeCell ref="A157:C157"/>
    <mergeCell ref="N157:O157"/>
    <mergeCell ref="A158:C158"/>
    <mergeCell ref="N158:O158"/>
    <mergeCell ref="A159:C159"/>
    <mergeCell ref="N159:O159"/>
    <mergeCell ref="A160:C160"/>
    <mergeCell ref="N160:O160"/>
    <mergeCell ref="A161:C161"/>
    <mergeCell ref="N161:O161"/>
    <mergeCell ref="A162:C162"/>
    <mergeCell ref="N162:O162"/>
    <mergeCell ref="A163:C163"/>
    <mergeCell ref="N163:O163"/>
    <mergeCell ref="A164:C164"/>
    <mergeCell ref="N164:O164"/>
    <mergeCell ref="A165:C165"/>
    <mergeCell ref="N165:O165"/>
    <mergeCell ref="A166:C166"/>
    <mergeCell ref="N166:O166"/>
    <mergeCell ref="A170:C170"/>
    <mergeCell ref="A167:C167"/>
    <mergeCell ref="N167:O167"/>
    <mergeCell ref="A168:C168"/>
    <mergeCell ref="N168:O168"/>
    <mergeCell ref="A169:C169"/>
    <mergeCell ref="N169:O169"/>
    <mergeCell ref="A174:C174"/>
    <mergeCell ref="N174:O174"/>
    <mergeCell ref="A171:C171"/>
    <mergeCell ref="N171:O171"/>
    <mergeCell ref="A172:C172"/>
    <mergeCell ref="N172:O172"/>
    <mergeCell ref="A173:C173"/>
    <mergeCell ref="N173:O173"/>
    <mergeCell ref="A52:B52"/>
    <mergeCell ref="A180:C180"/>
    <mergeCell ref="N180:O180"/>
    <mergeCell ref="A177:C177"/>
    <mergeCell ref="N177:O177"/>
    <mergeCell ref="A178:C178"/>
    <mergeCell ref="N178:O178"/>
    <mergeCell ref="A179:C179"/>
    <mergeCell ref="N179:O179"/>
    <mergeCell ref="N170:O170"/>
    <mergeCell ref="F4:J4"/>
    <mergeCell ref="A175:C175"/>
    <mergeCell ref="N175:O175"/>
    <mergeCell ref="A176:C176"/>
    <mergeCell ref="N176:O176"/>
    <mergeCell ref="R1:S1"/>
    <mergeCell ref="R2:S2"/>
    <mergeCell ref="A3:Q3"/>
    <mergeCell ref="R3:S3"/>
    <mergeCell ref="A1:Q2"/>
    <mergeCell ref="A12:A49"/>
    <mergeCell ref="T4:T9"/>
    <mergeCell ref="A5:A9"/>
    <mergeCell ref="S5:S9"/>
    <mergeCell ref="K5:K9"/>
    <mergeCell ref="P5:P9"/>
    <mergeCell ref="H5:H9"/>
    <mergeCell ref="I5:I9"/>
    <mergeCell ref="B5:B9"/>
    <mergeCell ref="A4:E4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Beyza</cp:lastModifiedBy>
  <cp:lastPrinted>2006-09-06T18:52:38Z</cp:lastPrinted>
  <dcterms:created xsi:type="dcterms:W3CDTF">2004-01-14T16:08:12Z</dcterms:created>
  <dcterms:modified xsi:type="dcterms:W3CDTF">2015-12-11T16:36:07Z</dcterms:modified>
  <cp:category/>
  <cp:version/>
  <cp:contentType/>
  <cp:contentStatus/>
</cp:coreProperties>
</file>