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5480" windowHeight="6540" tabRatio="906" activeTab="0"/>
  </bookViews>
  <sheets>
    <sheet name="Hesap" sheetId="1" r:id="rId1"/>
    <sheet name="Dış Hava" sheetId="2" r:id="rId2"/>
    <sheet name="Sıcaklık Farkları" sheetId="3" r:id="rId3"/>
    <sheet name="K Değerleri" sheetId="4" r:id="rId4"/>
    <sheet name="Malzeme" sheetId="5" r:id="rId5"/>
    <sheet name="Pencere" sheetId="6" r:id="rId6"/>
    <sheet name="Taşınım Katsayısı" sheetId="7" r:id="rId7"/>
    <sheet name="Hava Tabakası" sheetId="8" r:id="rId8"/>
    <sheet name="İnsan" sheetId="9" r:id="rId9"/>
    <sheet name="Elk.Cihaz ve Aydınlatma" sheetId="10" r:id="rId10"/>
    <sheet name="Güneş Şiddeti" sheetId="11" r:id="rId11"/>
    <sheet name="Sayfa1" sheetId="12" state="hidden" r:id="rId12"/>
  </sheets>
  <definedNames>
    <definedName name="_xlnm.Print_Area" localSheetId="0">'Hesap'!$A$1:$T$44</definedName>
  </definedNames>
  <calcPr fullCalcOnLoad="1"/>
</workbook>
</file>

<file path=xl/sharedStrings.xml><?xml version="1.0" encoding="utf-8"?>
<sst xmlns="http://schemas.openxmlformats.org/spreadsheetml/2006/main" count="2262" uniqueCount="426">
  <si>
    <t>Yapının Bulunduğu Yer :</t>
  </si>
  <si>
    <t>Kat :</t>
  </si>
  <si>
    <t>Oda No :</t>
  </si>
  <si>
    <t>ODA TRANSMİSYON ve GÜNEŞ ISI KAZANÇLARI</t>
  </si>
  <si>
    <t>Yön</t>
  </si>
  <si>
    <t>Adet</t>
  </si>
  <si>
    <t>Kcal/h</t>
  </si>
  <si>
    <r>
      <t xml:space="preserve">K
</t>
    </r>
    <r>
      <rPr>
        <sz val="8"/>
        <rFont val="Arial"/>
        <family val="2"/>
      </rPr>
      <t>Kcal/hm²°C</t>
    </r>
  </si>
  <si>
    <r>
      <t xml:space="preserve">Toplam
Alan
</t>
    </r>
    <r>
      <rPr>
        <sz val="8"/>
        <rFont val="Arial"/>
        <family val="2"/>
      </rPr>
      <t>m²</t>
    </r>
  </si>
  <si>
    <r>
      <t xml:space="preserve">Çıkan
Alan
</t>
    </r>
    <r>
      <rPr>
        <sz val="8"/>
        <rFont val="Arial"/>
        <family val="2"/>
      </rPr>
      <t>m²</t>
    </r>
  </si>
  <si>
    <r>
      <t xml:space="preserve">Net
Alan
</t>
    </r>
    <r>
      <rPr>
        <sz val="8"/>
        <rFont val="Arial"/>
        <family val="2"/>
      </rPr>
      <t>m²</t>
    </r>
  </si>
  <si>
    <t>Radyasyonu ile Isı Kazancı</t>
  </si>
  <si>
    <t>Transmisyon ile Isı Kazancı</t>
  </si>
  <si>
    <t>Hava Şartları</t>
  </si>
  <si>
    <t xml:space="preserve">Toplam Güneş Yükü </t>
  </si>
  <si>
    <t xml:space="preserve">Toplam Transmisyon </t>
  </si>
  <si>
    <t>ODA DİĞER DUYULUR ISI KAZANÇLARI</t>
  </si>
  <si>
    <t>İnsanlardan Duyulur Isı Kazancı</t>
  </si>
  <si>
    <t>Aydınlatma Duyulur Isı Kazancı</t>
  </si>
  <si>
    <t>Taze Hava By-Pass Duy. Isı Kaz.</t>
  </si>
  <si>
    <t>Diğer Aletlerden Duy. Isı Kazancı</t>
  </si>
  <si>
    <t>İnsan Sayısı x Emsal</t>
  </si>
  <si>
    <t>wh x n x Em. x  0,860</t>
  </si>
  <si>
    <t>Kişi</t>
  </si>
  <si>
    <t>wh</t>
  </si>
  <si>
    <t>m³/h</t>
  </si>
  <si>
    <t>kcal(duyulur)/kişi</t>
  </si>
  <si>
    <t>adet</t>
  </si>
  <si>
    <t>Toplam Diğer Duyulur Isı Kazancı</t>
  </si>
  <si>
    <t>ODA GİZLİ ISI KAZANÇLARI</t>
  </si>
  <si>
    <t>İnsanlardan Gizli Isı Kazancı</t>
  </si>
  <si>
    <t>Taze Hava By-Pass Gizli Isı Kaz.</t>
  </si>
  <si>
    <t>Diğer Aletlerden Gizli. Isı Kazancı</t>
  </si>
  <si>
    <t>kcal(gizli)/kişi</t>
  </si>
  <si>
    <t>Toplam Gizli Isı Kazancı</t>
  </si>
  <si>
    <t>HAVALANDIRMA ISI KAZANCI ( TAZE HAVA ISI KAZANCI )</t>
  </si>
  <si>
    <t>Toplam Havalandırma Isı Kazancı</t>
  </si>
  <si>
    <t>Duyulur</t>
  </si>
  <si>
    <t>Isı Oranı</t>
  </si>
  <si>
    <t>=</t>
  </si>
  <si>
    <t>Toplam Duyulu Isı</t>
  </si>
  <si>
    <t>T. Duyulur Isı + T. Gizli Isı</t>
  </si>
  <si>
    <t>%</t>
  </si>
  <si>
    <t>K</t>
  </si>
  <si>
    <t>D</t>
  </si>
  <si>
    <t>B</t>
  </si>
  <si>
    <t>G</t>
  </si>
  <si>
    <t>Bursa</t>
  </si>
  <si>
    <r>
      <t xml:space="preserve">Isı
</t>
    </r>
    <r>
      <rPr>
        <sz val="8"/>
        <rFont val="Arial"/>
        <family val="2"/>
      </rPr>
      <t>Kcal/hm²</t>
    </r>
  </si>
  <si>
    <t>KD</t>
  </si>
  <si>
    <t>GB</t>
  </si>
  <si>
    <t>KB</t>
  </si>
  <si>
    <t>GD</t>
  </si>
  <si>
    <t>Yatay</t>
  </si>
  <si>
    <t>Haziran</t>
  </si>
  <si>
    <t>Adana</t>
  </si>
  <si>
    <t>Afyon</t>
  </si>
  <si>
    <t>Adapazarı</t>
  </si>
  <si>
    <t>Ankara</t>
  </si>
  <si>
    <t>Antalya</t>
  </si>
  <si>
    <t>Aydın</t>
  </si>
  <si>
    <t>Balıkesir</t>
  </si>
  <si>
    <t>Antakya</t>
  </si>
  <si>
    <t>Bandırma</t>
  </si>
  <si>
    <t>Bolu</t>
  </si>
  <si>
    <t>Bilecik</t>
  </si>
  <si>
    <t>Burdur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</si>
  <si>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</si>
  <si>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</si>
  <si>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</si>
  <si>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</si>
  <si>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</si>
  <si>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</si>
  <si>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</si>
  <si>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</si>
  <si>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</si>
  <si>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</si>
  <si>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Giresun</t>
  </si>
  <si>
    <t>Gaziantep</t>
  </si>
  <si>
    <t>Iğdır</t>
  </si>
  <si>
    <t>Isparta</t>
  </si>
  <si>
    <t>İskenderun</t>
  </si>
  <si>
    <t>İstanbul</t>
  </si>
  <si>
    <t>İzmir</t>
  </si>
  <si>
    <t>Kars</t>
  </si>
  <si>
    <t>Kastamonu</t>
  </si>
  <si>
    <t>Kayseri</t>
  </si>
  <si>
    <t>Kırşehir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</si>
  <si>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</si>
  <si>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</si>
  <si>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</si>
  <si>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</si>
  <si>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</si>
  <si>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</si>
  <si>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</si>
  <si>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</si>
  <si>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Niğde</t>
  </si>
  <si>
    <t>Rize</t>
  </si>
  <si>
    <t>Samsun</t>
  </si>
  <si>
    <t>Siirt</t>
  </si>
  <si>
    <t>Sinop</t>
  </si>
  <si>
    <t>Sivas</t>
  </si>
  <si>
    <t>Tekirdağ</t>
  </si>
  <si>
    <t>Trabzon</t>
  </si>
  <si>
    <t>Uşak</t>
  </si>
  <si>
    <t>Van</t>
  </si>
  <si>
    <t>Yozgat</t>
  </si>
  <si>
    <t>Zonguldak</t>
  </si>
  <si>
    <t>Dd1</t>
  </si>
  <si>
    <t>Dd2</t>
  </si>
  <si>
    <t>Dış Duvar ; Tip1</t>
  </si>
  <si>
    <t>Dış Duvar ; Tip2</t>
  </si>
  <si>
    <t>Kiriş ; Tip 1</t>
  </si>
  <si>
    <t>Kolon ; Tip 1</t>
  </si>
  <si>
    <t>Tanımlaması</t>
  </si>
  <si>
    <t>Açıklama</t>
  </si>
  <si>
    <t>Dış Pencere ; Tip 1</t>
  </si>
  <si>
    <t>Dış Kapı ; Tip 1</t>
  </si>
  <si>
    <t>Toprak Temas Döşeme ; Tip 1</t>
  </si>
  <si>
    <t>Toprak Temas Döşeme ; Tip 2</t>
  </si>
  <si>
    <t>Tdö1</t>
  </si>
  <si>
    <t>Tdö2</t>
  </si>
  <si>
    <t>Açık Geçit Üzeri Döşeme ; Tip 1</t>
  </si>
  <si>
    <t>Adö1</t>
  </si>
  <si>
    <t>Açık Geçit Üzeri Döşeme ; Tip 2</t>
  </si>
  <si>
    <t>Adö2</t>
  </si>
  <si>
    <t>Döşeme ; Tip 1</t>
  </si>
  <si>
    <t>Döşeme ; Tip 2</t>
  </si>
  <si>
    <t>Dö1</t>
  </si>
  <si>
    <t>Dö2</t>
  </si>
  <si>
    <t>Çatı ; Tip 1</t>
  </si>
  <si>
    <t>Çatı ; Tip 2</t>
  </si>
  <si>
    <t>Tv1</t>
  </si>
  <si>
    <t>Tv2</t>
  </si>
  <si>
    <t>Düzeltme</t>
  </si>
  <si>
    <t>Değeri</t>
  </si>
  <si>
    <t>Transm.</t>
  </si>
  <si>
    <t>Radyasy.</t>
  </si>
  <si>
    <t>Dış Hava Sıcaklıkları °C</t>
  </si>
  <si>
    <t>29 °C</t>
  </si>
  <si>
    <t>32 °C</t>
  </si>
  <si>
    <t>35 °C</t>
  </si>
  <si>
    <t>38 °C</t>
  </si>
  <si>
    <t>41 °C</t>
  </si>
  <si>
    <t>43 °C</t>
  </si>
  <si>
    <t>Son Katlardaki Çatılar ve Tavanlar</t>
  </si>
  <si>
    <t>Tavan Arası veya Çatı Katı</t>
  </si>
  <si>
    <t>Ara Katlardaki Döşeme ve Tavanlar</t>
  </si>
  <si>
    <t>İklimlendirilen Odanın altı ve üstü İklimlendirilmemiş Odalar</t>
  </si>
  <si>
    <t>Bitişik Durumdaki Bölmeler</t>
  </si>
  <si>
    <t>İklimlendirilen Odayı Çevreleyen İklimlendirilmemiş Odalar</t>
  </si>
  <si>
    <t>Duvar Yönleri</t>
  </si>
  <si>
    <t>Kuzey</t>
  </si>
  <si>
    <t>Kuzey Doğu</t>
  </si>
  <si>
    <t>Doğu</t>
  </si>
  <si>
    <t>Güney Doğu</t>
  </si>
  <si>
    <t>Güney</t>
  </si>
  <si>
    <t>Güney Batı</t>
  </si>
  <si>
    <t>Batı</t>
  </si>
  <si>
    <t>Kuzey Batı</t>
  </si>
  <si>
    <t>Güneş Işınlarına Maruz Duvarların Isı Kazançlarını Hesaplamak İçin
Eşdeğer Sıcaklık Farkları</t>
  </si>
  <si>
    <t>Tavan Arası ve Çatı Katı, Ara Kat Döşemesi ve Tavanlar ile Bitişik Durumdaki Bölmelerle Olan
Eşdeğer Sıcaklık Farkları</t>
  </si>
  <si>
    <r>
      <t xml:space="preserve">12:00
Güneş Yükü
</t>
    </r>
    <r>
      <rPr>
        <sz val="8"/>
        <rFont val="Arial"/>
        <family val="2"/>
      </rPr>
      <t>Kcal/m²h</t>
    </r>
  </si>
  <si>
    <r>
      <t xml:space="preserve">16:00
Güneş Yükü
</t>
    </r>
    <r>
      <rPr>
        <sz val="8"/>
        <rFont val="Arial"/>
        <family val="2"/>
      </rPr>
      <t>Kcal/m²h</t>
    </r>
  </si>
  <si>
    <r>
      <t xml:space="preserve">09:00
Toplam Isı
</t>
    </r>
    <r>
      <rPr>
        <sz val="8"/>
        <rFont val="Arial"/>
        <family val="2"/>
      </rPr>
      <t>Kcal/h</t>
    </r>
  </si>
  <si>
    <r>
      <t xml:space="preserve">12:00
Toplam Isı
</t>
    </r>
    <r>
      <rPr>
        <sz val="8"/>
        <rFont val="Arial"/>
        <family val="2"/>
      </rPr>
      <t>Kcal/h</t>
    </r>
  </si>
  <si>
    <r>
      <t xml:space="preserve">16:00
Toplam Isı
</t>
    </r>
    <r>
      <rPr>
        <sz val="8"/>
        <rFont val="Arial"/>
        <family val="2"/>
      </rPr>
      <t>Kcal/h</t>
    </r>
  </si>
  <si>
    <t>Düzeltme
Faktörü</t>
  </si>
  <si>
    <r>
      <t xml:space="preserve">08:00
Güneş Yükü
</t>
    </r>
    <r>
      <rPr>
        <sz val="8"/>
        <rFont val="Arial"/>
        <family val="2"/>
      </rPr>
      <t>Kcal/m²h</t>
    </r>
  </si>
  <si>
    <t>SICAKLIK FARKI ( 38 °C Dış Hava 26 °C İç Hava Sıcaklığı için )</t>
  </si>
  <si>
    <t>İnsan Sayısı :</t>
  </si>
  <si>
    <t>Adınlatma Değeri :</t>
  </si>
  <si>
    <t>Taze Hava Miktarı :</t>
  </si>
  <si>
    <t>Ayd. Duyulur Isı Değeri :</t>
  </si>
  <si>
    <t>İns. olan Duy. Isı Değeri :</t>
  </si>
  <si>
    <t>Elk. Alet Duy. Isı Değeri :</t>
  </si>
  <si>
    <t>Emn. Katsayısı :</t>
  </si>
  <si>
    <t>Miktar/Adet :</t>
  </si>
  <si>
    <t>By-Pass Faktörü :</t>
  </si>
  <si>
    <t>Sıcaklık Farkı</t>
  </si>
  <si>
    <t>Kontrol</t>
  </si>
  <si>
    <t>Proje
Şartları</t>
  </si>
  <si>
    <t>Alan
m²</t>
  </si>
  <si>
    <t>Cinsi</t>
  </si>
  <si>
    <t>Tarih</t>
  </si>
  <si>
    <t>Firma</t>
  </si>
  <si>
    <t>Mahal Adı  :</t>
  </si>
  <si>
    <t>İşin Adı :</t>
  </si>
  <si>
    <t>kcal/kg  ( i )</t>
  </si>
  <si>
    <t>Gr/kg ( X )</t>
  </si>
  <si>
    <t>Sayfa No</t>
  </si>
  <si>
    <t>( 1 - By - Pass )</t>
  </si>
  <si>
    <t>kcal / h</t>
  </si>
  <si>
    <t>TOPLAM SOĞUTMA YÜKÜ</t>
  </si>
  <si>
    <t>YOK</t>
  </si>
  <si>
    <t>Btu/h</t>
  </si>
  <si>
    <t>Çeşitli yapı malzemeleri için ısı iletim katsayıları ve birim hacim ağırlıkları.</t>
  </si>
  <si>
    <t>AÇIKLAMALAR</t>
  </si>
  <si>
    <t>Birim Hacim 
Ağırlığı 
kg/m3</t>
  </si>
  <si>
    <t>Isı Geçirgenlik
Direnci
Kcal/mh°C</t>
  </si>
  <si>
    <t>Kristal yapılı püskürük ve metamorfik taşlar (Granit, bazalt, mermer v.b.)</t>
  </si>
  <si>
    <t>Tortul taşlar</t>
  </si>
  <si>
    <t>Gözenekli püskürük taşlar</t>
  </si>
  <si>
    <t>Kum</t>
  </si>
  <si>
    <t>Kum-Çakıl</t>
  </si>
  <si>
    <t>Kil, Sıkı toprak</t>
  </si>
  <si>
    <t>Kırma taş (mıcır)</t>
  </si>
  <si>
    <t>Çakıl</t>
  </si>
  <si>
    <t>Bims Çakılı (TS 3234)</t>
  </si>
  <si>
    <t>Yüksek fırın curufu</t>
  </si>
  <si>
    <t>Kömür curufu</t>
  </si>
  <si>
    <t>Gözenekli doğal taş mıcırı</t>
  </si>
  <si>
    <t>Genleştirilmiş perlit agregası (TS 3681)</t>
  </si>
  <si>
    <t>Genleştirilmiş mantar parçacıkları</t>
  </si>
  <si>
    <t>Polisterol, Sert köpük parçaları</t>
  </si>
  <si>
    <t>Testere ve planya talaşı</t>
  </si>
  <si>
    <t>Saman</t>
  </si>
  <si>
    <t>Kireç harcı</t>
  </si>
  <si>
    <t>Kireç-çimento harcı</t>
  </si>
  <si>
    <t>Çimento harcı</t>
  </si>
  <si>
    <t>Alçı harcı, kireçli alçı harcı</t>
  </si>
  <si>
    <t>Alçı sıvası (agregasız)</t>
  </si>
  <si>
    <t>Alçı harçlı şap</t>
  </si>
  <si>
    <t>Çimento harçlı şap</t>
  </si>
  <si>
    <t>Dökme asfalt kaplama, h=15 mm</t>
  </si>
  <si>
    <t>Samanlı kerpiç harcı</t>
  </si>
  <si>
    <t>Anorganik asıllı hafif agregalı sıva harcı</t>
  </si>
  <si>
    <t>Genleştirilmiş perlit agregalı sıva ve harçlar</t>
  </si>
  <si>
    <t>Normal Beton (TS 500) doğal agrega ve mıcırlı,donatılı</t>
  </si>
  <si>
    <t>Normal beton (TS 500) doğal agrega ve mıcırlı, donatısız</t>
  </si>
  <si>
    <t>Gözenekli hafif agregalı betonlar (TS 1114)</t>
  </si>
  <si>
    <t>Doğal bimsli Kuvart kumu katılmayan betonlar (TS 2334)</t>
  </si>
  <si>
    <t>Genleştirilmiş perlitli kuvartz kumu katılmayan betonlar (TS 3649)</t>
  </si>
  <si>
    <t>Hafif betonlar ince ve agregasız</t>
  </si>
  <si>
    <t>Gözeneksiz agregalı betonlar (TS 1114)</t>
  </si>
  <si>
    <t>Gözenekli hafif agregalı kuvartz kumu katılmayan betonlar</t>
  </si>
  <si>
    <t>Bimsli kuvartz kumu katılmayan bims agregalı (TS 3234) ve bims agregası kullanılan, bims betondan (TS 2823) mamul yapı elemanları</t>
  </si>
  <si>
    <t>Organik asıllı agregalı hafif betonlar</t>
  </si>
  <si>
    <t>Çeltik kapçığı betonu</t>
  </si>
  <si>
    <t>Asbestli çimento levhaları (TS 807)</t>
  </si>
  <si>
    <t>Gaz betonu yapı levhaları</t>
  </si>
  <si>
    <t>Hafif beton duvar plakaları</t>
  </si>
  <si>
    <t>Alçıdan duvar levhaları ve blokları (Gözenekli, çelikli, dolgu ve agregalı) (TS 451, 452, 147)</t>
  </si>
  <si>
    <t>Genleştirilmiş perlit agregalı alçı duvar levhaları (TS 3682)</t>
  </si>
  <si>
    <t>Alçı karton plaklar</t>
  </si>
  <si>
    <t>Tuğla duvarlar dolu veya düşey delikli normal veya klinker tuğlalarla duvarlar (TS 704, 705)</t>
  </si>
  <si>
    <t>Düşey delikli hafif tuğlalarla duvarlar (TS 4377-AB sınıfı tuğlalarla)</t>
  </si>
  <si>
    <t>Düşey delikli hafif tuğlalarla duvarlar (TS 4377-W sınıfı tuğlalarla)</t>
  </si>
  <si>
    <t>Yatay delikli tuğlalarla duvarlar</t>
  </si>
  <si>
    <t>Kireç kumtaşı duvarlar (TS 808)</t>
  </si>
  <si>
    <t>Gaz betonu duvar blokları ie duvarlar (TS 453), Normal derzli ve normal harçla yerleştirilen bloklarla duvarlar</t>
  </si>
  <si>
    <t>Gaz betonu bloklar (TS 453), İnce derzli (Derz kal.&lt;3 mm) veya özel yapışrıcıyla yerleştirilmiş bloklu duvarlar (blok uzunluğu en az 500 mm olmalı</t>
  </si>
  <si>
    <t>Betondan dolu biriket veya duvar bloklarıyla duvarlar, Hafif veya normal betondan dolu biriket veya bloklarla duvarlar (TS 406)</t>
  </si>
  <si>
    <t>Bims betondan dolu bloklarla duvarlar, Kuvartz kumu katılmayan. (TS 2823)</t>
  </si>
  <si>
    <t>Genleştirilmiş perlit betonundan dolu bloklarla duvarlar (kuvartz kumu katılmayan bloklarla)</t>
  </si>
  <si>
    <t>Betondan boşluklu biriket veya duvar blok. (TS 4062) , En az 2 sıra delikli boşluklu bloklarda gen. &lt;20 cm. 3 sıra boşluklu duv. gen.&lt;30 cm.</t>
  </si>
  <si>
    <t>Betondan boşluklu biriket veya duvar blok. (TS 4062) , En az 2 sıra delikli boşluklu bloklarda genişlil &lt;20 cm. 3 sıra boşluklu duv. gen.&lt;30 cm.</t>
  </si>
  <si>
    <t>Döşem kaplamaları</t>
  </si>
  <si>
    <t>Linolyum</t>
  </si>
  <si>
    <t>Mantarlı linolyum</t>
  </si>
  <si>
    <t>Sentetik malzemeden kaplamalar, PVC</t>
  </si>
  <si>
    <t>Halı vb. kaplamalar</t>
  </si>
  <si>
    <t>Suya karşı yalıtım kaplamalar</t>
  </si>
  <si>
    <t>Mastık asfalt kaplamalar h=&lt;7mm ve bitüm emdirilmiş kaplamalar</t>
  </si>
  <si>
    <t>Odun talaşı levhaları (TS 305) h=&gt;25 mm</t>
  </si>
  <si>
    <t>Odun talaşı levhaları (TS 305) h=15mm</t>
  </si>
  <si>
    <t>Sentetik köpük malzemeler (TS 2193)</t>
  </si>
  <si>
    <t>Polistren sert köpük levhalar</t>
  </si>
  <si>
    <t>Mineral ve bitkisel liflerden ısı malzemeleri (TS 901)</t>
  </si>
  <si>
    <t>Bitkisel liflerden ısı yalıtım malzemeleri (TS 901)</t>
  </si>
  <si>
    <t>Cam köpüğü levhalar</t>
  </si>
  <si>
    <t>Mantardan ısı yalıtım levhaları (TS 304)</t>
  </si>
  <si>
    <t>Kamıştan hafif levhalar</t>
  </si>
  <si>
    <t>Cam</t>
  </si>
  <si>
    <t>Pencere ve kapıların ısı geçirme katsayıları</t>
  </si>
  <si>
    <t>PENCERELER VE KAPILAR</t>
  </si>
  <si>
    <t>ISIGEÇİRME
KATSAYISI
Kcal/m2°Ch</t>
  </si>
  <si>
    <t>AHŞAP PENCERE VE KAPILAR</t>
  </si>
  <si>
    <t>Basit tek camlı pencere ve dış kapı</t>
  </si>
  <si>
    <t>Özel birleştirilmiş çift camlı penecere ve dış kapı (İki cam arası 6 mm)</t>
  </si>
  <si>
    <t>Özel birleştirilmiş çift camlı penecere ve dış kapı (İki cam arası 12 mm)</t>
  </si>
  <si>
    <t>Camsız dış kapı</t>
  </si>
  <si>
    <t>Bitişik (muntabık) çift kanatlı pencere ve dış kapı</t>
  </si>
  <si>
    <t>Kasalı çift kanatlı pencere ve dış kapı</t>
  </si>
  <si>
    <t>METAL PENCERE VE KAPILAR(Hazır profilerden enaz iki binili)</t>
  </si>
  <si>
    <t>Tepe penceresi (basit)</t>
  </si>
  <si>
    <t>Tepe penceresi</t>
  </si>
  <si>
    <t>PLASTİK (PVC) PENCERELER</t>
  </si>
  <si>
    <t>Basit tek camlı pencere</t>
  </si>
  <si>
    <t>Özel birleştirilmiş çift camlı pencere</t>
  </si>
  <si>
    <t>İç ve dış hava ısı taşınım katsayıları</t>
  </si>
  <si>
    <t>Yüzey ve ısı akımı yönü</t>
  </si>
  <si>
    <t>Isı Taşınım
Katsayısı
Kcal/m2h°C</t>
  </si>
  <si>
    <t xml:space="preserve">Hava akımı normal kapalı hacimlerde duvar ve iç pencere yüzeyleri iç tarafında </t>
  </si>
  <si>
    <t>Dış pencere yüzeyleri iç tarafında</t>
  </si>
  <si>
    <t>Isı akımı aşağıdan yukarıya olan döşeme yüzeylerinde</t>
  </si>
  <si>
    <t>Isı akımı yukarıdan aşağıya olan döşeme yüzeylerinde</t>
  </si>
  <si>
    <t>Dış yüzeylerde</t>
  </si>
  <si>
    <t>Toprak</t>
  </si>
  <si>
    <t>Sonsuz</t>
  </si>
  <si>
    <t>Hava tabakasının ısı geçirgenlik direnci</t>
  </si>
  <si>
    <t>Değişik kalınlıklardahava tabakalarının
ısıgeçirgenlik dirençleri1/^=m2h°C/Kcal</t>
  </si>
  <si>
    <t>Hava tabakası durumu</t>
  </si>
  <si>
    <t>Kalınlık (cm)</t>
  </si>
  <si>
    <t>Düşey</t>
  </si>
  <si>
    <t>Yatay (sıcak yüzey altında)</t>
  </si>
  <si>
    <t>Yatay (sıcak yüzey üstünde)</t>
  </si>
  <si>
    <t>Boşluklu hafif tuğla ve beton briket dolgu asmolen döşemelerde döşemenin ısı geçirgenlik direnci kaplamasız olarak 1/^=0.30 m2h°C/Kcal kabul edilir.</t>
  </si>
  <si>
    <t>ŞEHİR</t>
  </si>
  <si>
    <t>ÜLKE</t>
  </si>
  <si>
    <t>ENLEM °</t>
  </si>
  <si>
    <t>ENLEM "</t>
  </si>
  <si>
    <t>BOYLAM °</t>
  </si>
  <si>
    <t>BOYLAM "</t>
  </si>
  <si>
    <t>RAKIM</t>
  </si>
  <si>
    <t>Dış Hava
Sıcaklığı
Kış °C</t>
  </si>
  <si>
    <t>Kuru Term.
Sıcaklığı
Yaz °C</t>
  </si>
  <si>
    <t>Günlük Ortlama
Sıcaklık Farkı
Yaz °C</t>
  </si>
  <si>
    <t>Yaş Term.
Sıcaklığı
Yaz °C</t>
  </si>
  <si>
    <t>Rüzgar
Durumu</t>
  </si>
  <si>
    <t>TÜRKİYE</t>
  </si>
  <si>
    <t>R</t>
  </si>
  <si>
    <t>Şanlıurfa</t>
  </si>
  <si>
    <t>FAALİYET DURUMU</t>
  </si>
  <si>
    <t>DUYULUR ISI
kcal/h</t>
  </si>
  <si>
    <t>GİZLİ ISI
kcal/h</t>
  </si>
  <si>
    <t>Ofisler, Toplantı Salonları</t>
  </si>
  <si>
    <t>Konutlar</t>
  </si>
  <si>
    <t>Oteller</t>
  </si>
  <si>
    <t>Okullar</t>
  </si>
  <si>
    <t>Tiyatrolar, Sinemalar</t>
  </si>
  <si>
    <t>Mağazalar, Dükkanlar</t>
  </si>
  <si>
    <t>Bankalar</t>
  </si>
  <si>
    <t>Restaurantlar</t>
  </si>
  <si>
    <t>Diskotekler, Barlar</t>
  </si>
  <si>
    <t>Spor Seyir Salonları</t>
  </si>
  <si>
    <t>Spor Oyun Salonları</t>
  </si>
  <si>
    <t>Hafif Tezgah Çalışması - Fabrika ve Atölyeler</t>
  </si>
  <si>
    <t>Orta Tezgah Çalışması - Fabrika ve Atölyeler</t>
  </si>
  <si>
    <t>Ağır Tezgah Çalışması - Fabrika ve Atölyeler</t>
  </si>
  <si>
    <t>Muhtelif Hacimler İçin Aydınlatma Yükü</t>
  </si>
  <si>
    <t>Watt/m²</t>
  </si>
  <si>
    <t>Konutlar, Oteller</t>
  </si>
  <si>
    <t>Konferans ve Toplantı Salonları, Ofisler</t>
  </si>
  <si>
    <t>Mağazalar ve Showroomlar</t>
  </si>
  <si>
    <t>ELEKTRİKLİ CİHAZ</t>
  </si>
  <si>
    <t>Elektrik Fırını</t>
  </si>
  <si>
    <t>Gücü
Watt</t>
  </si>
  <si>
    <t>Elektrik Süpürgesi</t>
  </si>
  <si>
    <t>Çamaşır Makinası</t>
  </si>
  <si>
    <t>Buzdolabı</t>
  </si>
  <si>
    <t>Ütü</t>
  </si>
  <si>
    <t>Radyo</t>
  </si>
  <si>
    <t>Elektrik Sobası</t>
  </si>
  <si>
    <t>Çaydanlık</t>
  </si>
  <si>
    <t>Tost Makinası</t>
  </si>
  <si>
    <t>Saç Kurutma Makinası</t>
  </si>
  <si>
    <t>Elektrik Ocağı</t>
  </si>
  <si>
    <t>Elektrik Izgarası</t>
  </si>
  <si>
    <t>Saç Ondüle Aleti</t>
  </si>
  <si>
    <t>Neon Lamba</t>
  </si>
  <si>
    <t>wh x n x  0,860</t>
  </si>
  <si>
    <t>Hesap / Etüd</t>
  </si>
  <si>
    <r>
      <t>D</t>
    </r>
    <r>
      <rPr>
        <sz val="10"/>
        <rFont val="Arial"/>
        <family val="0"/>
      </rPr>
      <t xml:space="preserve">T
</t>
    </r>
    <r>
      <rPr>
        <sz val="8"/>
        <rFont val="Arial"/>
        <family val="2"/>
      </rPr>
      <t>°C</t>
    </r>
  </si>
  <si>
    <r>
      <t xml:space="preserve">m³/h x 0,3 x By-Pass x </t>
    </r>
    <r>
      <rPr>
        <sz val="10"/>
        <rFont val="Symbol"/>
        <family val="1"/>
      </rPr>
      <t>D</t>
    </r>
    <r>
      <rPr>
        <sz val="10"/>
        <rFont val="Arial"/>
        <family val="0"/>
      </rPr>
      <t>T</t>
    </r>
  </si>
  <si>
    <r>
      <t xml:space="preserve">m³/h x 0,7 x By-Pass x </t>
    </r>
    <r>
      <rPr>
        <sz val="10"/>
        <rFont val="Symbol"/>
        <family val="1"/>
      </rPr>
      <t>D</t>
    </r>
    <r>
      <rPr>
        <sz val="10"/>
        <rFont val="Arial"/>
        <family val="0"/>
      </rPr>
      <t>x</t>
    </r>
  </si>
  <si>
    <r>
      <t xml:space="preserve">m³/h x 0,3 x (1-By-Pass) x </t>
    </r>
    <r>
      <rPr>
        <sz val="10"/>
        <rFont val="Symbol"/>
        <family val="1"/>
      </rPr>
      <t>D</t>
    </r>
    <r>
      <rPr>
        <sz val="10"/>
        <rFont val="Arial"/>
        <family val="0"/>
      </rPr>
      <t>T</t>
    </r>
  </si>
  <si>
    <r>
      <t xml:space="preserve">m³/h x 0,7 x (1-By-Pass) x </t>
    </r>
    <r>
      <rPr>
        <sz val="10"/>
        <rFont val="Symbol"/>
        <family val="1"/>
      </rPr>
      <t>D</t>
    </r>
    <r>
      <rPr>
        <sz val="10"/>
        <rFont val="Arial"/>
        <family val="0"/>
      </rPr>
      <t>x</t>
    </r>
  </si>
  <si>
    <r>
      <t>D</t>
    </r>
    <r>
      <rPr>
        <sz val="10"/>
        <rFont val="Arial"/>
        <family val="0"/>
      </rPr>
      <t>x</t>
    </r>
  </si>
  <si>
    <r>
      <t>D</t>
    </r>
    <r>
      <rPr>
        <sz val="10"/>
        <rFont val="Arial"/>
        <family val="0"/>
      </rPr>
      <t>T</t>
    </r>
  </si>
  <si>
    <t>Dış Hava
Nisbi Nem
Yaz %</t>
  </si>
  <si>
    <t>Dış Hava
Özgül Nem
Yaz gr/kg</t>
  </si>
  <si>
    <t>" KLİMA SİSTEMLERİ "</t>
  </si>
  <si>
    <t>Alet Gizli Isı Değeri :</t>
  </si>
  <si>
    <t>Temmuz</t>
  </si>
  <si>
    <t>Ağustos</t>
  </si>
  <si>
    <t>Mayıs</t>
  </si>
  <si>
    <t>Nisan</t>
  </si>
  <si>
    <t>Eylül</t>
  </si>
  <si>
    <t>Mart</t>
  </si>
  <si>
    <t>Ekim</t>
  </si>
  <si>
    <t>Şubat</t>
  </si>
  <si>
    <t>Kasım</t>
  </si>
  <si>
    <t>Aralık</t>
  </si>
  <si>
    <t>Ocak</t>
  </si>
  <si>
    <t>Hesabın Yapıldığı Ay :</t>
  </si>
  <si>
    <t>Firma Adı :</t>
  </si>
  <si>
    <t>Kış</t>
  </si>
  <si>
    <t>Yaz ( Kuru )</t>
  </si>
  <si>
    <t>Yaz ( Yaş )</t>
  </si>
  <si>
    <t>Dış</t>
  </si>
  <si>
    <t>İç</t>
  </si>
  <si>
    <r>
      <t>D</t>
    </r>
    <r>
      <rPr>
        <sz val="10"/>
        <rFont val="Arial"/>
        <family val="0"/>
      </rPr>
      <t>X ( Gr/kg )</t>
    </r>
  </si>
  <si>
    <t>Nisbi Nem %</t>
  </si>
  <si>
    <t>Ki</t>
  </si>
  <si>
    <t>Ko</t>
  </si>
  <si>
    <t>Dp</t>
  </si>
  <si>
    <t>Dk</t>
  </si>
  <si>
    <r>
      <t xml:space="preserve">&lt; </t>
    </r>
    <r>
      <rPr>
        <b/>
        <sz val="10"/>
        <rFont val="Arial"/>
        <family val="2"/>
      </rPr>
      <t>DATA</t>
    </r>
    <r>
      <rPr>
        <sz val="10"/>
        <rFont val="Arial"/>
        <family val="0"/>
      </rPr>
      <t xml:space="preserve"> &gt;</t>
    </r>
  </si>
  <si>
    <r>
      <t>Birim :</t>
    </r>
    <r>
      <rPr>
        <sz val="10"/>
        <rFont val="Arial"/>
        <family val="0"/>
      </rPr>
      <t xml:space="preserve"> Watt / m²</t>
    </r>
  </si>
  <si>
    <r>
      <t>Birim :</t>
    </r>
    <r>
      <rPr>
        <sz val="10"/>
        <rFont val="Arial"/>
        <family val="0"/>
      </rPr>
      <t xml:space="preserve"> kcal/h.m²</t>
    </r>
  </si>
  <si>
    <t>KUZEY</t>
  </si>
  <si>
    <t>KUZEYDOĞU</t>
  </si>
  <si>
    <t>DOĞU</t>
  </si>
  <si>
    <t>GÜNEYDOĞU</t>
  </si>
  <si>
    <t>GÜNEY</t>
  </si>
  <si>
    <t>GÜNEYBATI</t>
  </si>
  <si>
    <t>BATI</t>
  </si>
  <si>
    <t>KUZEYBATI</t>
  </si>
  <si>
    <t>YATAY</t>
  </si>
  <si>
    <t>Özkan SAYLAN</t>
  </si>
  <si>
    <t>Departman</t>
  </si>
  <si>
    <t>Proje Departmanı</t>
  </si>
  <si>
    <t>ISI KAZANÇ HESAP TABLOSU</t>
  </si>
  <si>
    <t>Akkor</t>
  </si>
  <si>
    <t>Serhan Akbaş</t>
  </si>
  <si>
    <t>Çocuk Suiti</t>
  </si>
  <si>
    <t>Misafir yatak</t>
  </si>
  <si>
    <t>Dadı Odası</t>
  </si>
  <si>
    <t>Oturma Bölümü</t>
  </si>
  <si>
    <t>Ebeveyn Suiti</t>
  </si>
  <si>
    <t>Oturma + Salon</t>
  </si>
  <si>
    <t>Mutfak - Yemek</t>
  </si>
  <si>
    <t>zemin</t>
  </si>
  <si>
    <t>d</t>
  </si>
  <si>
    <t>lokal</t>
  </si>
</sst>
</file>

<file path=xl/styles.xml><?xml version="1.0" encoding="utf-8"?>
<styleSheet xmlns="http://schemas.openxmlformats.org/spreadsheetml/2006/main">
  <numFmts count="4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0.00000000"/>
    <numFmt numFmtId="187" formatCode="0.000000000"/>
    <numFmt numFmtId="188" formatCode="_-* #,##0.0\ _T_L_-;\-* #,##0.0\ _T_L_-;_-* &quot;-&quot;??\ _T_L_-;_-@_-"/>
    <numFmt numFmtId="189" formatCode="_-* #,##0\ _T_L_-;\-* #,##0\ _T_L_-;_-* &quot;-&quot;??\ _T_L_-;_-@_-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00_)"/>
    <numFmt numFmtId="193" formatCode="0.00_)"/>
    <numFmt numFmtId="194" formatCode="_-* #,##0.0\ _T_L_-;\-* #,##0.0\ _T_L_-;_-* &quot;-&quot;?\ _T_L_-;_-@_-"/>
    <numFmt numFmtId="195" formatCode="_-* #,##0\ _T_L_-;\-* #,##0\ _T_L_-;_-* &quot;-&quot;?\ _T_L_-;_-@_-"/>
  </numFmts>
  <fonts count="4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0"/>
      <name val="Arial Tur"/>
      <family val="0"/>
    </font>
    <font>
      <sz val="11"/>
      <name val="Tms Rmn"/>
      <family val="0"/>
    </font>
    <font>
      <b/>
      <i/>
      <sz val="16"/>
      <name val="Helv"/>
      <family val="0"/>
    </font>
    <font>
      <b/>
      <sz val="10"/>
      <name val="Arial Tur"/>
      <family val="2"/>
    </font>
    <font>
      <sz val="10"/>
      <name val="Symbol"/>
      <family val="1"/>
    </font>
    <font>
      <b/>
      <sz val="14"/>
      <name val="Arial"/>
      <family val="2"/>
    </font>
    <font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92" fontId="8" fillId="0" borderId="0">
      <alignment/>
      <protection/>
    </xf>
    <xf numFmtId="192" fontId="8" fillId="0" borderId="0">
      <alignment/>
      <protection/>
    </xf>
    <xf numFmtId="192" fontId="8" fillId="0" borderId="0">
      <alignment/>
      <protection/>
    </xf>
    <xf numFmtId="192" fontId="8" fillId="0" borderId="0">
      <alignment/>
      <protection/>
    </xf>
    <xf numFmtId="192" fontId="8" fillId="0" borderId="0">
      <alignment/>
      <protection/>
    </xf>
    <xf numFmtId="192" fontId="8" fillId="0" borderId="0">
      <alignment/>
      <protection/>
    </xf>
    <xf numFmtId="192" fontId="8" fillId="0" borderId="0">
      <alignment/>
      <protection/>
    </xf>
    <xf numFmtId="192" fontId="8" fillId="0" borderId="0">
      <alignment/>
      <protection/>
    </xf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193" fontId="9" fillId="0" borderId="0">
      <alignment/>
      <protection/>
    </xf>
    <xf numFmtId="0" fontId="7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/>
      <protection locked="0"/>
    </xf>
    <xf numFmtId="188" fontId="0" fillId="0" borderId="11" xfId="0" applyNumberForma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 wrapText="1"/>
      <protection/>
    </xf>
    <xf numFmtId="0" fontId="0" fillId="0" borderId="15" xfId="0" applyFill="1" applyBorder="1" applyAlignment="1" applyProtection="1">
      <alignment horizontal="center" wrapText="1"/>
      <protection/>
    </xf>
    <xf numFmtId="0" fontId="0" fillId="0" borderId="16" xfId="0" applyFill="1" applyBorder="1" applyAlignment="1" applyProtection="1">
      <alignment horizontal="center" wrapText="1"/>
      <protection/>
    </xf>
    <xf numFmtId="0" fontId="0" fillId="0" borderId="17" xfId="0" applyFill="1" applyBorder="1" applyAlignment="1" applyProtection="1">
      <alignment horizontal="center" wrapText="1"/>
      <protection/>
    </xf>
    <xf numFmtId="0" fontId="0" fillId="0" borderId="18" xfId="0" applyFill="1" applyBorder="1" applyAlignment="1" applyProtection="1">
      <alignment horizontal="center" wrapText="1"/>
      <protection/>
    </xf>
    <xf numFmtId="0" fontId="0" fillId="0" borderId="19" xfId="0" applyFill="1" applyBorder="1" applyAlignment="1" applyProtection="1">
      <alignment horizontal="center" wrapText="1"/>
      <protection/>
    </xf>
    <xf numFmtId="188" fontId="0" fillId="0" borderId="11" xfId="0" applyNumberFormat="1" applyFill="1" applyBorder="1" applyAlignment="1" applyProtection="1">
      <alignment/>
      <protection/>
    </xf>
    <xf numFmtId="188" fontId="0" fillId="0" borderId="13" xfId="0" applyNumberFormat="1" applyFill="1" applyBorder="1" applyAlignment="1" applyProtection="1">
      <alignment/>
      <protection/>
    </xf>
    <xf numFmtId="188" fontId="0" fillId="0" borderId="20" xfId="0" applyNumberFormat="1" applyFill="1" applyBorder="1" applyAlignment="1" applyProtection="1">
      <alignment/>
      <protection/>
    </xf>
    <xf numFmtId="189" fontId="0" fillId="0" borderId="21" xfId="0" applyNumberFormat="1" applyFill="1" applyBorder="1" applyAlignment="1" applyProtection="1">
      <alignment/>
      <protection/>
    </xf>
    <xf numFmtId="189" fontId="0" fillId="0" borderId="10" xfId="0" applyNumberFormat="1" applyFill="1" applyBorder="1" applyAlignment="1" applyProtection="1">
      <alignment/>
      <protection/>
    </xf>
    <xf numFmtId="189" fontId="0" fillId="0" borderId="22" xfId="0" applyNumberFormat="1" applyFill="1" applyBorder="1" applyAlignment="1" applyProtection="1">
      <alignment/>
      <protection/>
    </xf>
    <xf numFmtId="189" fontId="0" fillId="0" borderId="23" xfId="0" applyNumberFormat="1" applyFill="1" applyBorder="1" applyAlignment="1" applyProtection="1">
      <alignment/>
      <protection/>
    </xf>
    <xf numFmtId="189" fontId="0" fillId="0" borderId="11" xfId="0" applyNumberFormat="1" applyFill="1" applyBorder="1" applyAlignment="1" applyProtection="1">
      <alignment/>
      <protection/>
    </xf>
    <xf numFmtId="189" fontId="0" fillId="0" borderId="24" xfId="0" applyNumberFormat="1" applyFill="1" applyBorder="1" applyAlignment="1" applyProtection="1">
      <alignment/>
      <protection/>
    </xf>
    <xf numFmtId="188" fontId="0" fillId="0" borderId="25" xfId="0" applyNumberFormat="1" applyFill="1" applyBorder="1" applyAlignment="1" applyProtection="1">
      <alignment/>
      <protection/>
    </xf>
    <xf numFmtId="188" fontId="0" fillId="0" borderId="26" xfId="0" applyNumberFormat="1" applyFill="1" applyBorder="1" applyAlignment="1" applyProtection="1">
      <alignment/>
      <protection/>
    </xf>
    <xf numFmtId="188" fontId="0" fillId="0" borderId="27" xfId="0" applyNumberForma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88" fontId="0" fillId="0" borderId="23" xfId="0" applyNumberFormat="1" applyFill="1" applyBorder="1" applyAlignment="1" applyProtection="1">
      <alignment/>
      <protection locked="0"/>
    </xf>
    <xf numFmtId="188" fontId="0" fillId="0" borderId="28" xfId="0" applyNumberFormat="1" applyFill="1" applyBorder="1" applyAlignment="1" applyProtection="1">
      <alignment/>
      <protection locked="0"/>
    </xf>
    <xf numFmtId="188" fontId="0" fillId="0" borderId="21" xfId="0" applyNumberFormat="1" applyFill="1" applyBorder="1" applyAlignment="1" applyProtection="1">
      <alignment horizontal="center"/>
      <protection/>
    </xf>
    <xf numFmtId="189" fontId="0" fillId="0" borderId="11" xfId="0" applyNumberFormat="1" applyFill="1" applyBorder="1" applyAlignment="1" applyProtection="1">
      <alignment horizontal="center"/>
      <protection/>
    </xf>
    <xf numFmtId="188" fontId="0" fillId="0" borderId="23" xfId="0" applyNumberFormat="1" applyFill="1" applyBorder="1" applyAlignment="1" applyProtection="1">
      <alignment horizontal="center"/>
      <protection/>
    </xf>
    <xf numFmtId="171" fontId="0" fillId="0" borderId="11" xfId="65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5" fillId="33" borderId="12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89" fontId="0" fillId="0" borderId="0" xfId="65" applyNumberFormat="1" applyFont="1" applyFill="1" applyBorder="1" applyAlignment="1" applyProtection="1">
      <alignment/>
      <protection/>
    </xf>
    <xf numFmtId="171" fontId="0" fillId="0" borderId="11" xfId="65" applyFont="1" applyBorder="1" applyAlignment="1" applyProtection="1">
      <alignment/>
      <protection/>
    </xf>
    <xf numFmtId="0" fontId="7" fillId="0" borderId="0" xfId="58">
      <alignment/>
      <protection/>
    </xf>
    <xf numFmtId="0" fontId="10" fillId="0" borderId="0" xfId="58" applyFont="1">
      <alignment/>
      <protection/>
    </xf>
    <xf numFmtId="0" fontId="10" fillId="0" borderId="0" xfId="58" applyFont="1" applyAlignment="1">
      <alignment horizontal="center" wrapText="1"/>
      <protection/>
    </xf>
    <xf numFmtId="0" fontId="10" fillId="0" borderId="0" xfId="58" applyFont="1" applyAlignment="1">
      <alignment vertical="center"/>
      <protection/>
    </xf>
    <xf numFmtId="0" fontId="7" fillId="0" borderId="0" xfId="58" applyAlignment="1">
      <alignment horizontal="right"/>
      <protection/>
    </xf>
    <xf numFmtId="0" fontId="10" fillId="0" borderId="0" xfId="58" applyFont="1" applyAlignment="1">
      <alignment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188" fontId="0" fillId="0" borderId="13" xfId="0" applyNumberFormat="1" applyBorder="1" applyAlignment="1">
      <alignment horizontal="center"/>
    </xf>
    <xf numFmtId="188" fontId="0" fillId="0" borderId="20" xfId="0" applyNumberForma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188" fontId="0" fillId="0" borderId="10" xfId="0" applyNumberFormat="1" applyBorder="1" applyAlignment="1">
      <alignment horizontal="center"/>
    </xf>
    <xf numFmtId="188" fontId="0" fillId="0" borderId="22" xfId="0" applyNumberForma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5" fillId="0" borderId="17" xfId="0" applyFont="1" applyBorder="1" applyAlignment="1">
      <alignment/>
    </xf>
    <xf numFmtId="0" fontId="0" fillId="0" borderId="33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" fillId="0" borderId="34" xfId="0" applyFont="1" applyBorder="1" applyAlignment="1">
      <alignment horizontal="center" wrapText="1"/>
    </xf>
    <xf numFmtId="188" fontId="0" fillId="0" borderId="35" xfId="0" applyNumberFormat="1" applyBorder="1" applyAlignment="1">
      <alignment horizontal="center"/>
    </xf>
    <xf numFmtId="188" fontId="0" fillId="0" borderId="36" xfId="0" applyNumberFormat="1" applyBorder="1" applyAlignment="1">
      <alignment horizontal="center"/>
    </xf>
    <xf numFmtId="188" fontId="0" fillId="0" borderId="11" xfId="0" applyNumberFormat="1" applyFont="1" applyFill="1" applyBorder="1" applyAlignment="1" applyProtection="1">
      <alignment/>
      <protection locked="0"/>
    </xf>
    <xf numFmtId="0" fontId="0" fillId="0" borderId="37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11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2" fillId="0" borderId="41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42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43" xfId="0" applyFill="1" applyBorder="1" applyAlignment="1" applyProtection="1">
      <alignment/>
      <protection/>
    </xf>
    <xf numFmtId="0" fontId="0" fillId="0" borderId="44" xfId="0" applyFill="1" applyBorder="1" applyAlignment="1" applyProtection="1">
      <alignment/>
      <protection/>
    </xf>
    <xf numFmtId="0" fontId="0" fillId="0" borderId="29" xfId="0" applyFill="1" applyBorder="1" applyAlignment="1" applyProtection="1">
      <alignment horizontal="right"/>
      <protection/>
    </xf>
    <xf numFmtId="0" fontId="0" fillId="0" borderId="19" xfId="0" applyFill="1" applyBorder="1" applyAlignment="1" applyProtection="1">
      <alignment/>
      <protection/>
    </xf>
    <xf numFmtId="0" fontId="0" fillId="0" borderId="45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 locked="0"/>
    </xf>
    <xf numFmtId="0" fontId="0" fillId="0" borderId="46" xfId="0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0" fillId="0" borderId="48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49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 locked="0"/>
    </xf>
    <xf numFmtId="1" fontId="0" fillId="0" borderId="48" xfId="0" applyNumberForma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0" fillId="0" borderId="42" xfId="0" applyFill="1" applyBorder="1" applyAlignment="1" applyProtection="1">
      <alignment/>
      <protection locked="0"/>
    </xf>
    <xf numFmtId="0" fontId="0" fillId="0" borderId="50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0" fontId="0" fillId="0" borderId="52" xfId="0" applyFill="1" applyBorder="1" applyAlignment="1" applyProtection="1">
      <alignment/>
      <protection/>
    </xf>
    <xf numFmtId="0" fontId="0" fillId="0" borderId="53" xfId="0" applyFill="1" applyBorder="1" applyAlignment="1" applyProtection="1">
      <alignment/>
      <protection/>
    </xf>
    <xf numFmtId="0" fontId="0" fillId="0" borderId="44" xfId="0" applyFill="1" applyBorder="1" applyAlignment="1" applyProtection="1">
      <alignment horizontal="right"/>
      <protection/>
    </xf>
    <xf numFmtId="0" fontId="0" fillId="0" borderId="17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2" fillId="0" borderId="54" xfId="0" applyFont="1" applyFill="1" applyBorder="1" applyAlignment="1" applyProtection="1">
      <alignment/>
      <protection/>
    </xf>
    <xf numFmtId="0" fontId="0" fillId="0" borderId="55" xfId="0" applyFill="1" applyBorder="1" applyAlignment="1" applyProtection="1">
      <alignment/>
      <protection/>
    </xf>
    <xf numFmtId="0" fontId="0" fillId="0" borderId="56" xfId="0" applyFill="1" applyBorder="1" applyAlignment="1" applyProtection="1">
      <alignment/>
      <protection/>
    </xf>
    <xf numFmtId="20" fontId="2" fillId="0" borderId="57" xfId="0" applyNumberFormat="1" applyFont="1" applyFill="1" applyBorder="1" applyAlignment="1" applyProtection="1">
      <alignment horizontal="center"/>
      <protection/>
    </xf>
    <xf numFmtId="20" fontId="2" fillId="0" borderId="37" xfId="0" applyNumberFormat="1" applyFont="1" applyFill="1" applyBorder="1" applyAlignment="1" applyProtection="1">
      <alignment horizontal="center"/>
      <protection/>
    </xf>
    <xf numFmtId="20" fontId="2" fillId="0" borderId="45" xfId="0" applyNumberFormat="1" applyFont="1" applyFill="1" applyBorder="1" applyAlignment="1" applyProtection="1">
      <alignment horizontal="center"/>
      <protection/>
    </xf>
    <xf numFmtId="3" fontId="6" fillId="0" borderId="36" xfId="0" applyNumberFormat="1" applyFont="1" applyFill="1" applyBorder="1" applyAlignment="1" applyProtection="1">
      <alignment horizontal="center"/>
      <protection/>
    </xf>
    <xf numFmtId="3" fontId="6" fillId="0" borderId="13" xfId="0" applyNumberFormat="1" applyFont="1" applyFill="1" applyBorder="1" applyAlignment="1" applyProtection="1">
      <alignment horizontal="center"/>
      <protection/>
    </xf>
    <xf numFmtId="3" fontId="6" fillId="0" borderId="20" xfId="0" applyNumberFormat="1" applyFont="1" applyFill="1" applyBorder="1" applyAlignment="1" applyProtection="1">
      <alignment horizontal="center"/>
      <protection/>
    </xf>
    <xf numFmtId="0" fontId="11" fillId="0" borderId="58" xfId="0" applyFont="1" applyFill="1" applyBorder="1" applyAlignment="1" applyProtection="1">
      <alignment horizontal="center" wrapText="1"/>
      <protection/>
    </xf>
    <xf numFmtId="0" fontId="11" fillId="0" borderId="24" xfId="0" applyFont="1" applyFill="1" applyBorder="1" applyAlignment="1" applyProtection="1">
      <alignment/>
      <protection/>
    </xf>
    <xf numFmtId="0" fontId="11" fillId="0" borderId="59" xfId="0" applyFont="1" applyFill="1" applyBorder="1" applyAlignment="1" applyProtection="1">
      <alignment/>
      <protection/>
    </xf>
    <xf numFmtId="0" fontId="11" fillId="0" borderId="40" xfId="0" applyFont="1" applyFill="1" applyBorder="1" applyAlignment="1" applyProtection="1">
      <alignment/>
      <protection/>
    </xf>
    <xf numFmtId="4" fontId="0" fillId="0" borderId="13" xfId="73" applyNumberFormat="1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/>
      <protection/>
    </xf>
    <xf numFmtId="0" fontId="0" fillId="0" borderId="61" xfId="0" applyFill="1" applyBorder="1" applyAlignment="1" applyProtection="1">
      <alignment/>
      <protection/>
    </xf>
    <xf numFmtId="188" fontId="0" fillId="0" borderId="57" xfId="0" applyNumberFormat="1" applyBorder="1" applyAlignment="1">
      <alignment horizontal="center"/>
    </xf>
    <xf numFmtId="188" fontId="0" fillId="0" borderId="37" xfId="0" applyNumberFormat="1" applyBorder="1" applyAlignment="1">
      <alignment horizontal="center"/>
    </xf>
    <xf numFmtId="188" fontId="0" fillId="0" borderId="45" xfId="0" applyNumberFormat="1" applyBorder="1" applyAlignment="1">
      <alignment horizontal="center"/>
    </xf>
    <xf numFmtId="0" fontId="0" fillId="0" borderId="62" xfId="0" applyBorder="1" applyAlignment="1">
      <alignment vertical="center"/>
    </xf>
    <xf numFmtId="188" fontId="0" fillId="0" borderId="63" xfId="0" applyNumberFormat="1" applyBorder="1" applyAlignment="1">
      <alignment horizontal="center"/>
    </xf>
    <xf numFmtId="188" fontId="0" fillId="0" borderId="64" xfId="0" applyNumberFormat="1" applyBorder="1" applyAlignment="1">
      <alignment horizontal="center"/>
    </xf>
    <xf numFmtId="188" fontId="0" fillId="0" borderId="65" xfId="0" applyNumberFormat="1" applyBorder="1" applyAlignment="1">
      <alignment horizontal="center"/>
    </xf>
    <xf numFmtId="0" fontId="0" fillId="0" borderId="17" xfId="0" applyBorder="1" applyAlignment="1">
      <alignment vertical="center"/>
    </xf>
    <xf numFmtId="188" fontId="0" fillId="0" borderId="34" xfId="0" applyNumberFormat="1" applyBorder="1" applyAlignment="1">
      <alignment horizontal="center"/>
    </xf>
    <xf numFmtId="188" fontId="0" fillId="0" borderId="15" xfId="0" applyNumberFormat="1" applyBorder="1" applyAlignment="1">
      <alignment horizontal="center"/>
    </xf>
    <xf numFmtId="188" fontId="0" fillId="0" borderId="16" xfId="0" applyNumberFormat="1" applyBorder="1" applyAlignment="1">
      <alignment horizontal="center"/>
    </xf>
    <xf numFmtId="188" fontId="0" fillId="0" borderId="66" xfId="0" applyNumberFormat="1" applyBorder="1" applyAlignment="1">
      <alignment horizontal="center"/>
    </xf>
    <xf numFmtId="188" fontId="0" fillId="0" borderId="12" xfId="0" applyNumberFormat="1" applyBorder="1" applyAlignment="1">
      <alignment horizontal="center"/>
    </xf>
    <xf numFmtId="188" fontId="0" fillId="0" borderId="49" xfId="0" applyNumberFormat="1" applyBorder="1" applyAlignment="1">
      <alignment horizontal="center"/>
    </xf>
    <xf numFmtId="0" fontId="0" fillId="0" borderId="19" xfId="0" applyBorder="1" applyAlignment="1">
      <alignment vertical="center"/>
    </xf>
    <xf numFmtId="188" fontId="0" fillId="0" borderId="67" xfId="0" applyNumberFormat="1" applyBorder="1" applyAlignment="1">
      <alignment horizontal="center"/>
    </xf>
    <xf numFmtId="188" fontId="0" fillId="0" borderId="58" xfId="0" applyNumberFormat="1" applyBorder="1" applyAlignment="1">
      <alignment horizontal="center"/>
    </xf>
    <xf numFmtId="188" fontId="0" fillId="0" borderId="68" xfId="0" applyNumberFormat="1" applyBorder="1" applyAlignment="1">
      <alignment horizontal="center"/>
    </xf>
    <xf numFmtId="0" fontId="11" fillId="0" borderId="11" xfId="0" applyFont="1" applyFill="1" applyBorder="1" applyAlignment="1" applyProtection="1">
      <alignment horizontal="center" vertical="center"/>
      <protection/>
    </xf>
    <xf numFmtId="9" fontId="0" fillId="0" borderId="11" xfId="73" applyFont="1" applyFill="1" applyBorder="1" applyAlignment="1" applyProtection="1">
      <alignment horizontal="center"/>
      <protection locked="0"/>
    </xf>
    <xf numFmtId="0" fontId="0" fillId="0" borderId="37" xfId="0" applyFont="1" applyFill="1" applyBorder="1" applyAlignment="1" applyProtection="1">
      <alignment horizontal="center"/>
      <protection/>
    </xf>
    <xf numFmtId="0" fontId="0" fillId="0" borderId="45" xfId="0" applyFont="1" applyFill="1" applyBorder="1" applyAlignment="1" applyProtection="1">
      <alignment horizontal="center"/>
      <protection/>
    </xf>
    <xf numFmtId="9" fontId="0" fillId="0" borderId="24" xfId="73" applyFont="1" applyFill="1" applyBorder="1" applyAlignment="1" applyProtection="1">
      <alignment horizontal="center"/>
      <protection/>
    </xf>
    <xf numFmtId="4" fontId="0" fillId="0" borderId="13" xfId="0" applyNumberFormat="1" applyFill="1" applyBorder="1" applyAlignment="1" applyProtection="1">
      <alignment horizontal="center"/>
      <protection/>
    </xf>
    <xf numFmtId="0" fontId="0" fillId="0" borderId="57" xfId="0" applyFont="1" applyFill="1" applyBorder="1" applyAlignment="1" applyProtection="1">
      <alignment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55" xfId="0" applyFill="1" applyBorder="1" applyAlignment="1" applyProtection="1">
      <alignment horizontal="center"/>
      <protection locked="0"/>
    </xf>
    <xf numFmtId="0" fontId="0" fillId="0" borderId="56" xfId="0" applyFill="1" applyBorder="1" applyAlignment="1" applyProtection="1">
      <alignment horizontal="left"/>
      <protection locked="0"/>
    </xf>
    <xf numFmtId="0" fontId="6" fillId="0" borderId="46" xfId="0" applyFont="1" applyFill="1" applyBorder="1" applyAlignment="1" applyProtection="1">
      <alignment horizontal="center" wrapText="1"/>
      <protection locked="0"/>
    </xf>
    <xf numFmtId="0" fontId="6" fillId="0" borderId="51" xfId="0" applyFont="1" applyFill="1" applyBorder="1" applyAlignment="1" applyProtection="1">
      <alignment horizontal="center" wrapText="1"/>
      <protection locked="0"/>
    </xf>
    <xf numFmtId="0" fontId="6" fillId="0" borderId="31" xfId="0" applyFont="1" applyFill="1" applyBorder="1" applyAlignment="1" applyProtection="1">
      <alignment horizontal="center" wrapText="1"/>
      <protection locked="0"/>
    </xf>
    <xf numFmtId="0" fontId="0" fillId="0" borderId="69" xfId="0" applyFill="1" applyBorder="1" applyAlignment="1" applyProtection="1">
      <alignment/>
      <protection locked="0"/>
    </xf>
    <xf numFmtId="0" fontId="0" fillId="0" borderId="70" xfId="0" applyFill="1" applyBorder="1" applyAlignment="1" applyProtection="1">
      <alignment/>
      <protection locked="0"/>
    </xf>
    <xf numFmtId="188" fontId="0" fillId="0" borderId="71" xfId="0" applyNumberFormat="1" applyFill="1" applyBorder="1" applyAlignment="1" applyProtection="1">
      <alignment/>
      <protection locked="0"/>
    </xf>
    <xf numFmtId="188" fontId="0" fillId="0" borderId="37" xfId="0" applyNumberFormat="1" applyFont="1" applyFill="1" applyBorder="1" applyAlignment="1" applyProtection="1">
      <alignment/>
      <protection locked="0"/>
    </xf>
    <xf numFmtId="188" fontId="0" fillId="0" borderId="37" xfId="0" applyNumberFormat="1" applyFill="1" applyBorder="1" applyAlignment="1" applyProtection="1">
      <alignment/>
      <protection/>
    </xf>
    <xf numFmtId="188" fontId="0" fillId="0" borderId="45" xfId="0" applyNumberFormat="1" applyFill="1" applyBorder="1" applyAlignment="1" applyProtection="1">
      <alignment/>
      <protection/>
    </xf>
    <xf numFmtId="188" fontId="0" fillId="0" borderId="22" xfId="0" applyNumberFormat="1" applyFill="1" applyBorder="1" applyAlignment="1" applyProtection="1">
      <alignment/>
      <protection/>
    </xf>
    <xf numFmtId="188" fontId="0" fillId="0" borderId="13" xfId="0" applyNumberFormat="1" applyFont="1" applyFill="1" applyBorder="1" applyAlignment="1" applyProtection="1">
      <alignment/>
      <protection locked="0"/>
    </xf>
    <xf numFmtId="0" fontId="0" fillId="0" borderId="72" xfId="0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28" xfId="0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20" fontId="5" fillId="0" borderId="0" xfId="0" applyNumberFormat="1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5" fillId="0" borderId="37" xfId="0" applyFont="1" applyBorder="1" applyAlignment="1" applyProtection="1">
      <alignment/>
      <protection/>
    </xf>
    <xf numFmtId="3" fontId="0" fillId="0" borderId="37" xfId="0" applyNumberFormat="1" applyBorder="1" applyAlignment="1" applyProtection="1">
      <alignment/>
      <protection/>
    </xf>
    <xf numFmtId="3" fontId="0" fillId="0" borderId="45" xfId="0" applyNumberFormat="1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3" fontId="0" fillId="0" borderId="11" xfId="0" applyNumberFormat="1" applyBorder="1" applyAlignment="1" applyProtection="1">
      <alignment/>
      <protection/>
    </xf>
    <xf numFmtId="3" fontId="0" fillId="0" borderId="24" xfId="0" applyNumberForma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3" fontId="0" fillId="0" borderId="13" xfId="0" applyNumberFormat="1" applyBorder="1" applyAlignment="1" applyProtection="1">
      <alignment/>
      <protection/>
    </xf>
    <xf numFmtId="3" fontId="0" fillId="0" borderId="20" xfId="0" applyNumberForma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3" fontId="0" fillId="0" borderId="11" xfId="0" applyNumberFormat="1" applyFill="1" applyBorder="1" applyAlignment="1" applyProtection="1">
      <alignment/>
      <protection/>
    </xf>
    <xf numFmtId="3" fontId="0" fillId="0" borderId="24" xfId="0" applyNumberForma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5" fillId="34" borderId="37" xfId="0" applyFont="1" applyFill="1" applyBorder="1" applyAlignment="1" applyProtection="1">
      <alignment/>
      <protection/>
    </xf>
    <xf numFmtId="3" fontId="0" fillId="34" borderId="37" xfId="0" applyNumberFormat="1" applyFill="1" applyBorder="1" applyAlignment="1" applyProtection="1">
      <alignment/>
      <protection/>
    </xf>
    <xf numFmtId="3" fontId="0" fillId="34" borderId="45" xfId="0" applyNumberFormat="1" applyFill="1" applyBorder="1" applyAlignment="1" applyProtection="1">
      <alignment/>
      <protection/>
    </xf>
    <xf numFmtId="0" fontId="0" fillId="34" borderId="37" xfId="0" applyFill="1" applyBorder="1" applyAlignment="1" applyProtection="1">
      <alignment/>
      <protection/>
    </xf>
    <xf numFmtId="0" fontId="0" fillId="34" borderId="45" xfId="0" applyFill="1" applyBorder="1" applyAlignment="1" applyProtection="1">
      <alignment/>
      <protection/>
    </xf>
    <xf numFmtId="0" fontId="5" fillId="34" borderId="11" xfId="0" applyFont="1" applyFill="1" applyBorder="1" applyAlignment="1" applyProtection="1">
      <alignment/>
      <protection/>
    </xf>
    <xf numFmtId="3" fontId="0" fillId="34" borderId="11" xfId="0" applyNumberFormat="1" applyFill="1" applyBorder="1" applyAlignment="1" applyProtection="1">
      <alignment/>
      <protection/>
    </xf>
    <xf numFmtId="3" fontId="0" fillId="34" borderId="24" xfId="0" applyNumberFormat="1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3" fontId="0" fillId="0" borderId="13" xfId="0" applyNumberFormat="1" applyFill="1" applyBorder="1" applyAlignment="1" applyProtection="1">
      <alignment/>
      <protection/>
    </xf>
    <xf numFmtId="3" fontId="0" fillId="0" borderId="20" xfId="0" applyNumberFormat="1" applyFill="1" applyBorder="1" applyAlignment="1" applyProtection="1">
      <alignment/>
      <protection/>
    </xf>
    <xf numFmtId="3" fontId="0" fillId="0" borderId="37" xfId="0" applyNumberFormat="1" applyFill="1" applyBorder="1" applyAlignment="1" applyProtection="1">
      <alignment/>
      <protection/>
    </xf>
    <xf numFmtId="3" fontId="0" fillId="0" borderId="45" xfId="0" applyNumberFormat="1" applyFill="1" applyBorder="1" applyAlignment="1" applyProtection="1">
      <alignment/>
      <protection/>
    </xf>
    <xf numFmtId="0" fontId="5" fillId="34" borderId="12" xfId="0" applyFont="1" applyFill="1" applyBorder="1" applyAlignment="1" applyProtection="1">
      <alignment/>
      <protection/>
    </xf>
    <xf numFmtId="3" fontId="0" fillId="34" borderId="12" xfId="0" applyNumberFormat="1" applyFill="1" applyBorder="1" applyAlignment="1" applyProtection="1">
      <alignment/>
      <protection/>
    </xf>
    <xf numFmtId="3" fontId="0" fillId="34" borderId="49" xfId="0" applyNumberFormat="1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49" xfId="0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20" fontId="5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textRotation="90"/>
      <protection/>
    </xf>
    <xf numFmtId="0" fontId="5" fillId="0" borderId="0" xfId="0" applyFon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0" fontId="0" fillId="0" borderId="37" xfId="0" applyFont="1" applyFill="1" applyBorder="1" applyAlignment="1" applyProtection="1">
      <alignment horizontal="center"/>
      <protection locked="0"/>
    </xf>
    <xf numFmtId="0" fontId="0" fillId="0" borderId="54" xfId="0" applyFill="1" applyBorder="1" applyAlignment="1" applyProtection="1">
      <alignment/>
      <protection locked="0"/>
    </xf>
    <xf numFmtId="0" fontId="0" fillId="0" borderId="55" xfId="0" applyFill="1" applyBorder="1" applyAlignment="1" applyProtection="1">
      <alignment/>
      <protection locked="0"/>
    </xf>
    <xf numFmtId="4" fontId="0" fillId="0" borderId="13" xfId="73" applyNumberFormat="1" applyFont="1" applyFill="1" applyBorder="1" applyAlignment="1" applyProtection="1">
      <alignment horizontal="center"/>
      <protection locked="0"/>
    </xf>
    <xf numFmtId="0" fontId="2" fillId="0" borderId="41" xfId="0" applyFont="1" applyFill="1" applyBorder="1" applyAlignment="1" applyProtection="1">
      <alignment/>
      <protection locked="0"/>
    </xf>
    <xf numFmtId="0" fontId="0" fillId="0" borderId="43" xfId="0" applyFill="1" applyBorder="1" applyAlignment="1" applyProtection="1">
      <alignment/>
      <protection locked="0"/>
    </xf>
    <xf numFmtId="0" fontId="0" fillId="0" borderId="44" xfId="0" applyFill="1" applyBorder="1" applyAlignment="1" applyProtection="1">
      <alignment/>
      <protection locked="0"/>
    </xf>
    <xf numFmtId="0" fontId="2" fillId="0" borderId="54" xfId="0" applyFont="1" applyFill="1" applyBorder="1" applyAlignment="1" applyProtection="1">
      <alignment/>
      <protection locked="0"/>
    </xf>
    <xf numFmtId="0" fontId="0" fillId="0" borderId="56" xfId="0" applyFill="1" applyBorder="1" applyAlignment="1" applyProtection="1">
      <alignment/>
      <protection locked="0"/>
    </xf>
    <xf numFmtId="20" fontId="2" fillId="0" borderId="57" xfId="0" applyNumberFormat="1" applyFont="1" applyFill="1" applyBorder="1" applyAlignment="1" applyProtection="1">
      <alignment horizontal="center"/>
      <protection locked="0"/>
    </xf>
    <xf numFmtId="20" fontId="2" fillId="0" borderId="37" xfId="0" applyNumberFormat="1" applyFont="1" applyFill="1" applyBorder="1" applyAlignment="1" applyProtection="1">
      <alignment horizontal="center"/>
      <protection locked="0"/>
    </xf>
    <xf numFmtId="20" fontId="2" fillId="0" borderId="45" xfId="0" applyNumberFormat="1" applyFont="1" applyFill="1" applyBorder="1" applyAlignment="1" applyProtection="1">
      <alignment horizontal="center"/>
      <protection locked="0"/>
    </xf>
    <xf numFmtId="3" fontId="6" fillId="0" borderId="36" xfId="0" applyNumberFormat="1" applyFont="1" applyFill="1" applyBorder="1" applyAlignment="1" applyProtection="1">
      <alignment horizontal="center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3" fontId="0" fillId="0" borderId="21" xfId="0" applyNumberFormat="1" applyFill="1" applyBorder="1" applyAlignment="1" applyProtection="1">
      <alignment/>
      <protection/>
    </xf>
    <xf numFmtId="3" fontId="0" fillId="0" borderId="10" xfId="0" applyNumberFormat="1" applyFill="1" applyBorder="1" applyAlignment="1" applyProtection="1">
      <alignment/>
      <protection/>
    </xf>
    <xf numFmtId="3" fontId="0" fillId="0" borderId="22" xfId="0" applyNumberFormat="1" applyFill="1" applyBorder="1" applyAlignment="1" applyProtection="1">
      <alignment/>
      <protection/>
    </xf>
    <xf numFmtId="188" fontId="0" fillId="0" borderId="33" xfId="0" applyNumberFormat="1" applyFill="1" applyBorder="1" applyAlignment="1" applyProtection="1">
      <alignment/>
      <protection/>
    </xf>
    <xf numFmtId="9" fontId="0" fillId="0" borderId="11" xfId="73" applyFont="1" applyFill="1" applyBorder="1" applyAlignment="1" applyProtection="1">
      <alignment horizontal="center"/>
      <protection/>
    </xf>
    <xf numFmtId="9" fontId="0" fillId="0" borderId="24" xfId="0" applyNumberFormat="1" applyFill="1" applyBorder="1" applyAlignment="1" applyProtection="1">
      <alignment horizontal="center"/>
      <protection/>
    </xf>
    <xf numFmtId="2" fontId="0" fillId="0" borderId="48" xfId="0" applyNumberFormat="1" applyFill="1" applyBorder="1" applyAlignment="1" applyProtection="1">
      <alignment/>
      <protection/>
    </xf>
    <xf numFmtId="0" fontId="0" fillId="0" borderId="48" xfId="0" applyFill="1" applyBorder="1" applyAlignment="1" applyProtection="1">
      <alignment horizontal="center"/>
      <protection/>
    </xf>
    <xf numFmtId="3" fontId="0" fillId="0" borderId="14" xfId="0" applyNumberFormat="1" applyFill="1" applyBorder="1" applyAlignment="1" applyProtection="1">
      <alignment horizontal="center"/>
      <protection/>
    </xf>
    <xf numFmtId="3" fontId="0" fillId="0" borderId="15" xfId="0" applyNumberFormat="1" applyFill="1" applyBorder="1" applyAlignment="1" applyProtection="1">
      <alignment horizontal="center"/>
      <protection/>
    </xf>
    <xf numFmtId="3" fontId="0" fillId="0" borderId="16" xfId="0" applyNumberFormat="1" applyFill="1" applyBorder="1" applyAlignment="1" applyProtection="1">
      <alignment horizontal="center"/>
      <protection/>
    </xf>
    <xf numFmtId="14" fontId="0" fillId="0" borderId="48" xfId="0" applyNumberFormat="1" applyFont="1" applyFill="1" applyBorder="1" applyAlignment="1" applyProtection="1">
      <alignment horizontal="center" wrapText="1"/>
      <protection locked="0"/>
    </xf>
    <xf numFmtId="194" fontId="0" fillId="0" borderId="13" xfId="0" applyNumberFormat="1" applyFill="1" applyBorder="1" applyAlignment="1" applyProtection="1">
      <alignment/>
      <protection locked="0"/>
    </xf>
    <xf numFmtId="0" fontId="0" fillId="0" borderId="0" xfId="0" applyFill="1" applyAlignment="1" applyProtection="1" quotePrefix="1">
      <alignment/>
      <protection locked="0"/>
    </xf>
    <xf numFmtId="194" fontId="0" fillId="0" borderId="0" xfId="0" applyNumberFormat="1" applyFill="1" applyAlignment="1" applyProtection="1">
      <alignment/>
      <protection locked="0"/>
    </xf>
    <xf numFmtId="0" fontId="0" fillId="0" borderId="24" xfId="0" applyFill="1" applyBorder="1" applyAlignment="1" applyProtection="1" quotePrefix="1">
      <alignment/>
      <protection locked="0"/>
    </xf>
    <xf numFmtId="171" fontId="0" fillId="0" borderId="23" xfId="0" applyNumberFormat="1" applyFill="1" applyBorder="1" applyAlignment="1" applyProtection="1">
      <alignment horizontal="center"/>
      <protection/>
    </xf>
    <xf numFmtId="0" fontId="0" fillId="35" borderId="37" xfId="0" applyFill="1" applyBorder="1" applyAlignment="1" applyProtection="1">
      <alignment/>
      <protection locked="0"/>
    </xf>
    <xf numFmtId="0" fontId="0" fillId="35" borderId="11" xfId="0" applyFill="1" applyBorder="1" applyAlignment="1" applyProtection="1">
      <alignment/>
      <protection locked="0"/>
    </xf>
    <xf numFmtId="0" fontId="0" fillId="35" borderId="12" xfId="0" applyFill="1" applyBorder="1" applyAlignment="1" applyProtection="1">
      <alignment/>
      <protection locked="0"/>
    </xf>
    <xf numFmtId="0" fontId="0" fillId="35" borderId="13" xfId="0" applyFill="1" applyBorder="1" applyAlignment="1" applyProtection="1">
      <alignment/>
      <protection locked="0"/>
    </xf>
    <xf numFmtId="188" fontId="0" fillId="35" borderId="11" xfId="0" applyNumberFormat="1" applyFill="1" applyBorder="1" applyAlignment="1" applyProtection="1">
      <alignment/>
      <protection locked="0"/>
    </xf>
    <xf numFmtId="0" fontId="0" fillId="0" borderId="11" xfId="0" applyNumberFormat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/>
      <protection locked="0"/>
    </xf>
    <xf numFmtId="0" fontId="13" fillId="0" borderId="0" xfId="0" applyFont="1" applyAlignment="1" applyProtection="1">
      <alignment horizontal="center"/>
      <protection locked="0"/>
    </xf>
    <xf numFmtId="0" fontId="0" fillId="0" borderId="48" xfId="0" applyFont="1" applyFill="1" applyBorder="1" applyAlignment="1" applyProtection="1">
      <alignment horizontal="left" wrapText="1"/>
      <protection locked="0"/>
    </xf>
    <xf numFmtId="0" fontId="0" fillId="0" borderId="31" xfId="0" applyFont="1" applyFill="1" applyBorder="1" applyAlignment="1" applyProtection="1">
      <alignment horizontal="left" wrapText="1"/>
      <protection locked="0"/>
    </xf>
    <xf numFmtId="0" fontId="0" fillId="0" borderId="48" xfId="0" applyFont="1" applyFill="1" applyBorder="1" applyAlignment="1" applyProtection="1">
      <alignment horizontal="left" vertical="top" wrapText="1"/>
      <protection locked="0"/>
    </xf>
    <xf numFmtId="0" fontId="0" fillId="0" borderId="31" xfId="0" applyFont="1" applyFill="1" applyBorder="1" applyAlignment="1" applyProtection="1">
      <alignment horizontal="left" vertical="top" wrapText="1"/>
      <protection locked="0"/>
    </xf>
    <xf numFmtId="0" fontId="0" fillId="0" borderId="40" xfId="0" applyFont="1" applyFill="1" applyBorder="1" applyAlignment="1" applyProtection="1">
      <alignment horizontal="left" vertical="top" wrapText="1"/>
      <protection locked="0"/>
    </xf>
    <xf numFmtId="0" fontId="0" fillId="0" borderId="32" xfId="0" applyFont="1" applyFill="1" applyBorder="1" applyAlignment="1" applyProtection="1">
      <alignment horizontal="left" vertical="top" wrapText="1"/>
      <protection locked="0"/>
    </xf>
    <xf numFmtId="0" fontId="0" fillId="0" borderId="23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0" fillId="0" borderId="38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0" fontId="0" fillId="0" borderId="48" xfId="0" applyFill="1" applyBorder="1" applyAlignment="1" applyProtection="1">
      <alignment/>
      <protection locked="0"/>
    </xf>
    <xf numFmtId="0" fontId="0" fillId="0" borderId="39" xfId="0" applyFill="1" applyBorder="1" applyAlignment="1" applyProtection="1">
      <alignment/>
      <protection locked="0"/>
    </xf>
    <xf numFmtId="0" fontId="0" fillId="0" borderId="71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2" fillId="0" borderId="72" xfId="0" applyFont="1" applyFill="1" applyBorder="1" applyAlignment="1" applyProtection="1">
      <alignment horizontal="center"/>
      <protection/>
    </xf>
    <xf numFmtId="0" fontId="2" fillId="0" borderId="69" xfId="0" applyFont="1" applyFill="1" applyBorder="1" applyAlignment="1" applyProtection="1">
      <alignment horizontal="center"/>
      <protection/>
    </xf>
    <xf numFmtId="0" fontId="2" fillId="0" borderId="70" xfId="0" applyFont="1" applyFill="1" applyBorder="1" applyAlignment="1" applyProtection="1">
      <alignment horizontal="center"/>
      <protection/>
    </xf>
    <xf numFmtId="0" fontId="2" fillId="0" borderId="72" xfId="0" applyFont="1" applyFill="1" applyBorder="1" applyAlignment="1" applyProtection="1">
      <alignment horizontal="center"/>
      <protection locked="0"/>
    </xf>
    <xf numFmtId="0" fontId="2" fillId="0" borderId="69" xfId="0" applyFont="1" applyFill="1" applyBorder="1" applyAlignment="1" applyProtection="1">
      <alignment horizontal="center"/>
      <protection locked="0"/>
    </xf>
    <xf numFmtId="0" fontId="2" fillId="0" borderId="7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183" fontId="0" fillId="0" borderId="42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73" xfId="0" applyFill="1" applyBorder="1" applyAlignment="1" applyProtection="1">
      <alignment horizontal="center"/>
      <protection/>
    </xf>
    <xf numFmtId="0" fontId="0" fillId="0" borderId="28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60" xfId="0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0" fillId="0" borderId="60" xfId="0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4" fontId="0" fillId="0" borderId="60" xfId="0" applyNumberFormat="1" applyFill="1" applyBorder="1" applyAlignment="1" applyProtection="1">
      <alignment/>
      <protection/>
    </xf>
    <xf numFmtId="0" fontId="0" fillId="0" borderId="61" xfId="0" applyFill="1" applyBorder="1" applyAlignment="1" applyProtection="1">
      <alignment/>
      <protection/>
    </xf>
    <xf numFmtId="0" fontId="0" fillId="0" borderId="57" xfId="0" applyFill="1" applyBorder="1" applyAlignment="1" applyProtection="1">
      <alignment/>
      <protection/>
    </xf>
    <xf numFmtId="0" fontId="0" fillId="0" borderId="61" xfId="0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48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49" xfId="0" applyFill="1" applyBorder="1" applyAlignment="1" applyProtection="1">
      <alignment/>
      <protection/>
    </xf>
    <xf numFmtId="4" fontId="0" fillId="0" borderId="48" xfId="0" applyNumberFormat="1" applyFill="1" applyBorder="1" applyAlignment="1" applyProtection="1">
      <alignment/>
      <protection/>
    </xf>
    <xf numFmtId="0" fontId="0" fillId="0" borderId="45" xfId="0" applyFill="1" applyBorder="1" applyAlignment="1" applyProtection="1">
      <alignment/>
      <protection/>
    </xf>
    <xf numFmtId="0" fontId="0" fillId="0" borderId="46" xfId="0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171" fontId="0" fillId="0" borderId="48" xfId="0" applyNumberFormat="1" applyFill="1" applyBorder="1" applyAlignment="1" applyProtection="1">
      <alignment/>
      <protection/>
    </xf>
    <xf numFmtId="171" fontId="0" fillId="0" borderId="31" xfId="0" applyNumberFormat="1" applyFill="1" applyBorder="1" applyAlignment="1" applyProtection="1">
      <alignment/>
      <protection/>
    </xf>
    <xf numFmtId="0" fontId="0" fillId="0" borderId="37" xfId="0" applyFill="1" applyBorder="1" applyAlignment="1" applyProtection="1">
      <alignment horizontal="center" wrapText="1"/>
      <protection/>
    </xf>
    <xf numFmtId="0" fontId="0" fillId="0" borderId="13" xfId="0" applyFill="1" applyBorder="1" applyAlignment="1" applyProtection="1">
      <alignment horizontal="center" wrapText="1"/>
      <protection/>
    </xf>
    <xf numFmtId="0" fontId="0" fillId="0" borderId="45" xfId="0" applyFill="1" applyBorder="1" applyAlignment="1" applyProtection="1">
      <alignment horizontal="center" wrapText="1"/>
      <protection/>
    </xf>
    <xf numFmtId="0" fontId="0" fillId="0" borderId="20" xfId="0" applyFill="1" applyBorder="1" applyAlignment="1" applyProtection="1">
      <alignment horizontal="center" wrapText="1"/>
      <protection/>
    </xf>
    <xf numFmtId="0" fontId="0" fillId="0" borderId="43" xfId="0" applyFill="1" applyBorder="1" applyAlignment="1" applyProtection="1">
      <alignment horizontal="center"/>
      <protection/>
    </xf>
    <xf numFmtId="0" fontId="0" fillId="0" borderId="44" xfId="0" applyFill="1" applyBorder="1" applyAlignment="1" applyProtection="1">
      <alignment horizontal="center"/>
      <protection/>
    </xf>
    <xf numFmtId="0" fontId="0" fillId="0" borderId="29" xfId="0" applyFill="1" applyBorder="1" applyAlignment="1" applyProtection="1">
      <alignment horizontal="center"/>
      <protection/>
    </xf>
    <xf numFmtId="0" fontId="0" fillId="0" borderId="37" xfId="0" applyFill="1" applyBorder="1" applyAlignment="1" applyProtection="1">
      <alignment/>
      <protection locked="0"/>
    </xf>
    <xf numFmtId="0" fontId="0" fillId="0" borderId="45" xfId="0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 horizontal="left"/>
      <protection locked="0"/>
    </xf>
    <xf numFmtId="14" fontId="0" fillId="0" borderId="42" xfId="0" applyNumberFormat="1" applyFill="1" applyBorder="1" applyAlignment="1" applyProtection="1">
      <alignment horizontal="left"/>
      <protection locked="0"/>
    </xf>
    <xf numFmtId="0" fontId="0" fillId="0" borderId="40" xfId="0" applyFill="1" applyBorder="1" applyAlignment="1" applyProtection="1">
      <alignment/>
      <protection locked="0"/>
    </xf>
    <xf numFmtId="0" fontId="0" fillId="0" borderId="50" xfId="0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/>
      <protection locked="0"/>
    </xf>
    <xf numFmtId="171" fontId="0" fillId="0" borderId="46" xfId="0" applyNumberFormat="1" applyFill="1" applyBorder="1" applyAlignment="1" applyProtection="1">
      <alignment/>
      <protection/>
    </xf>
    <xf numFmtId="171" fontId="0" fillId="0" borderId="51" xfId="0" applyNumberFormat="1" applyFill="1" applyBorder="1" applyAlignment="1" applyProtection="1">
      <alignment/>
      <protection/>
    </xf>
    <xf numFmtId="0" fontId="12" fillId="0" borderId="41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Border="1" applyAlignment="1" applyProtection="1">
      <alignment horizontal="center" vertical="top" wrapText="1"/>
      <protection locked="0"/>
    </xf>
    <xf numFmtId="0" fontId="12" fillId="0" borderId="42" xfId="0" applyFont="1" applyFill="1" applyBorder="1" applyAlignment="1" applyProtection="1">
      <alignment horizontal="center" vertical="top" wrapText="1"/>
      <protection locked="0"/>
    </xf>
    <xf numFmtId="0" fontId="12" fillId="0" borderId="72" xfId="0" applyFont="1" applyFill="1" applyBorder="1" applyAlignment="1" applyProtection="1">
      <alignment horizontal="center" vertical="top" wrapText="1"/>
      <protection locked="0"/>
    </xf>
    <xf numFmtId="0" fontId="12" fillId="0" borderId="69" xfId="0" applyFont="1" applyFill="1" applyBorder="1" applyAlignment="1" applyProtection="1">
      <alignment horizontal="center" vertical="top" wrapText="1"/>
      <protection locked="0"/>
    </xf>
    <xf numFmtId="0" fontId="12" fillId="0" borderId="70" xfId="0" applyFont="1" applyFill="1" applyBorder="1" applyAlignment="1" applyProtection="1">
      <alignment horizontal="center" vertical="top" wrapText="1"/>
      <protection locked="0"/>
    </xf>
    <xf numFmtId="0" fontId="0" fillId="0" borderId="71" xfId="0" applyFont="1" applyFill="1" applyBorder="1" applyAlignment="1" applyProtection="1">
      <alignment horizontal="center" wrapText="1"/>
      <protection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37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 locked="0"/>
    </xf>
    <xf numFmtId="0" fontId="0" fillId="0" borderId="75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42" xfId="0" applyFill="1" applyBorder="1" applyAlignment="1" applyProtection="1">
      <alignment/>
      <protection locked="0"/>
    </xf>
    <xf numFmtId="0" fontId="0" fillId="0" borderId="76" xfId="0" applyFill="1" applyBorder="1" applyAlignment="1" applyProtection="1">
      <alignment horizontal="center" wrapText="1"/>
      <protection/>
    </xf>
    <xf numFmtId="0" fontId="0" fillId="0" borderId="69" xfId="0" applyFill="1" applyBorder="1" applyAlignment="1" applyProtection="1">
      <alignment horizontal="center" wrapText="1"/>
      <protection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33" borderId="11" xfId="0" applyFont="1" applyFill="1" applyBorder="1" applyAlignment="1" applyProtection="1">
      <alignment/>
      <protection/>
    </xf>
    <xf numFmtId="0" fontId="5" fillId="33" borderId="48" xfId="0" applyFont="1" applyFill="1" applyBorder="1" applyAlignment="1" applyProtection="1">
      <alignment horizontal="center"/>
      <protection/>
    </xf>
    <xf numFmtId="0" fontId="5" fillId="33" borderId="77" xfId="0" applyFont="1" applyFill="1" applyBorder="1" applyAlignment="1" applyProtection="1">
      <alignment horizontal="center"/>
      <protection/>
    </xf>
    <xf numFmtId="0" fontId="5" fillId="33" borderId="39" xfId="0" applyFont="1" applyFill="1" applyBorder="1" applyAlignment="1" applyProtection="1">
      <alignment horizontal="center"/>
      <protection/>
    </xf>
    <xf numFmtId="0" fontId="10" fillId="0" borderId="0" xfId="58" applyFont="1" applyAlignment="1">
      <alignment horizontal="center"/>
      <protection/>
    </xf>
    <xf numFmtId="0" fontId="0" fillId="0" borderId="33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74" xfId="0" applyFont="1" applyBorder="1" applyAlignment="1" applyProtection="1">
      <alignment horizontal="center" vertical="center" textRotation="90"/>
      <protection/>
    </xf>
    <xf numFmtId="0" fontId="5" fillId="0" borderId="75" xfId="0" applyFont="1" applyBorder="1" applyAlignment="1" applyProtection="1">
      <alignment horizontal="center" vertical="center" textRotation="90"/>
      <protection/>
    </xf>
    <xf numFmtId="0" fontId="5" fillId="0" borderId="18" xfId="0" applyFont="1" applyBorder="1" applyAlignment="1" applyProtection="1">
      <alignment horizontal="center" vertical="center" textRotation="90"/>
      <protection/>
    </xf>
    <xf numFmtId="0" fontId="5" fillId="34" borderId="74" xfId="0" applyFont="1" applyFill="1" applyBorder="1" applyAlignment="1" applyProtection="1">
      <alignment horizontal="center" vertical="center" textRotation="90"/>
      <protection/>
    </xf>
    <xf numFmtId="0" fontId="5" fillId="34" borderId="75" xfId="0" applyFont="1" applyFill="1" applyBorder="1" applyAlignment="1" applyProtection="1">
      <alignment horizontal="center" vertical="center" textRotation="90"/>
      <protection/>
    </xf>
    <xf numFmtId="0" fontId="5" fillId="34" borderId="18" xfId="0" applyFont="1" applyFill="1" applyBorder="1" applyAlignment="1" applyProtection="1">
      <alignment horizontal="center" vertical="center" textRotation="90"/>
      <protection/>
    </xf>
    <xf numFmtId="0" fontId="5" fillId="0" borderId="0" xfId="0" applyFont="1" applyBorder="1" applyAlignment="1" applyProtection="1">
      <alignment horizontal="center" vertical="center" textRotation="90"/>
      <protection/>
    </xf>
  </cellXfs>
  <cellStyles count="6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 - Style1" xfId="41"/>
    <cellStyle name="Comma  - Style2" xfId="42"/>
    <cellStyle name="Comma  - Style3" xfId="43"/>
    <cellStyle name="Comma  - Style4" xfId="44"/>
    <cellStyle name="Comma  - Style5" xfId="45"/>
    <cellStyle name="Comma  - Style6" xfId="46"/>
    <cellStyle name="Comma  - Style7" xfId="47"/>
    <cellStyle name="Comma  - Style8" xfId="48"/>
    <cellStyle name="Çıkış" xfId="49"/>
    <cellStyle name="Giriş" xfId="50"/>
    <cellStyle name="Hesaplama" xfId="51"/>
    <cellStyle name="İşaretli Hücre" xfId="52"/>
    <cellStyle name="İyi" xfId="53"/>
    <cellStyle name="Followed Hyperlink" xfId="54"/>
    <cellStyle name="Hyperlink" xfId="55"/>
    <cellStyle name="Kötü" xfId="56"/>
    <cellStyle name="Normal - Style1" xfId="57"/>
    <cellStyle name="Normal_MTHTABLO" xfId="58"/>
    <cellStyle name="Not" xfId="59"/>
    <cellStyle name="Nötr" xfId="60"/>
    <cellStyle name="Currency" xfId="61"/>
    <cellStyle name="Currency [0]" xfId="62"/>
    <cellStyle name="Toplam" xfId="63"/>
    <cellStyle name="Uyarı Metni" xfId="64"/>
    <cellStyle name="Comma" xfId="65"/>
    <cellStyle name="Virgül [0]_VERA" xfId="66"/>
    <cellStyle name="Vurgu1" xfId="67"/>
    <cellStyle name="Vurgu2" xfId="68"/>
    <cellStyle name="Vurgu3" xfId="69"/>
    <cellStyle name="Vurgu4" xfId="70"/>
    <cellStyle name="Vurgu5" xfId="71"/>
    <cellStyle name="Vurgu6" xfId="72"/>
    <cellStyle name="Percent" xfId="73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276225</xdr:colOff>
      <xdr:row>46</xdr:row>
      <xdr:rowOff>142875</xdr:rowOff>
    </xdr:from>
    <xdr:to>
      <xdr:col>19</xdr:col>
      <xdr:colOff>628650</xdr:colOff>
      <xdr:row>49</xdr:row>
      <xdr:rowOff>142875</xdr:rowOff>
    </xdr:to>
    <xdr:pic>
      <xdr:nvPicPr>
        <xdr:cNvPr id="1" name="Picture 4" descr="sanyo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11010900"/>
          <a:ext cx="1866900" cy="628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16</xdr:col>
      <xdr:colOff>276225</xdr:colOff>
      <xdr:row>90</xdr:row>
      <xdr:rowOff>142875</xdr:rowOff>
    </xdr:from>
    <xdr:to>
      <xdr:col>19</xdr:col>
      <xdr:colOff>628650</xdr:colOff>
      <xdr:row>93</xdr:row>
      <xdr:rowOff>142875</xdr:rowOff>
    </xdr:to>
    <xdr:pic>
      <xdr:nvPicPr>
        <xdr:cNvPr id="2" name="Picture 5" descr="sanyo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21316950"/>
          <a:ext cx="1866900" cy="628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16</xdr:col>
      <xdr:colOff>276225</xdr:colOff>
      <xdr:row>134</xdr:row>
      <xdr:rowOff>142875</xdr:rowOff>
    </xdr:from>
    <xdr:to>
      <xdr:col>19</xdr:col>
      <xdr:colOff>628650</xdr:colOff>
      <xdr:row>137</xdr:row>
      <xdr:rowOff>142875</xdr:rowOff>
    </xdr:to>
    <xdr:pic>
      <xdr:nvPicPr>
        <xdr:cNvPr id="3" name="Picture 6" descr="sanyo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31623000"/>
          <a:ext cx="1866900" cy="628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16</xdr:col>
      <xdr:colOff>276225</xdr:colOff>
      <xdr:row>178</xdr:row>
      <xdr:rowOff>142875</xdr:rowOff>
    </xdr:from>
    <xdr:to>
      <xdr:col>19</xdr:col>
      <xdr:colOff>628650</xdr:colOff>
      <xdr:row>181</xdr:row>
      <xdr:rowOff>142875</xdr:rowOff>
    </xdr:to>
    <xdr:pic>
      <xdr:nvPicPr>
        <xdr:cNvPr id="4" name="Picture 7" descr="sanyo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41929050"/>
          <a:ext cx="1866900" cy="628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16</xdr:col>
      <xdr:colOff>276225</xdr:colOff>
      <xdr:row>222</xdr:row>
      <xdr:rowOff>142875</xdr:rowOff>
    </xdr:from>
    <xdr:to>
      <xdr:col>19</xdr:col>
      <xdr:colOff>628650</xdr:colOff>
      <xdr:row>225</xdr:row>
      <xdr:rowOff>142875</xdr:rowOff>
    </xdr:to>
    <xdr:pic>
      <xdr:nvPicPr>
        <xdr:cNvPr id="5" name="Picture 8" descr="sanyo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52235100"/>
          <a:ext cx="1866900" cy="628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16</xdr:col>
      <xdr:colOff>276225</xdr:colOff>
      <xdr:row>266</xdr:row>
      <xdr:rowOff>142875</xdr:rowOff>
    </xdr:from>
    <xdr:to>
      <xdr:col>19</xdr:col>
      <xdr:colOff>628650</xdr:colOff>
      <xdr:row>269</xdr:row>
      <xdr:rowOff>142875</xdr:rowOff>
    </xdr:to>
    <xdr:pic>
      <xdr:nvPicPr>
        <xdr:cNvPr id="6" name="Picture 9" descr="sanyo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62541150"/>
          <a:ext cx="1866900" cy="628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16</xdr:col>
      <xdr:colOff>276225</xdr:colOff>
      <xdr:row>310</xdr:row>
      <xdr:rowOff>142875</xdr:rowOff>
    </xdr:from>
    <xdr:to>
      <xdr:col>19</xdr:col>
      <xdr:colOff>628650</xdr:colOff>
      <xdr:row>313</xdr:row>
      <xdr:rowOff>142875</xdr:rowOff>
    </xdr:to>
    <xdr:pic>
      <xdr:nvPicPr>
        <xdr:cNvPr id="7" name="Picture 10" descr="sanyo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72847200"/>
          <a:ext cx="1866900" cy="628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B1:Y52"/>
  <sheetViews>
    <sheetView showZeros="0" tabSelected="1" zoomScale="70" zoomScaleNormal="70" zoomScalePageLayoutView="0" workbookViewId="0" topLeftCell="A1">
      <selection activeCell="Y11" sqref="Y11"/>
    </sheetView>
  </sheetViews>
  <sheetFormatPr defaultColWidth="9.140625" defaultRowHeight="16.5" customHeight="1"/>
  <cols>
    <col min="1" max="1" width="0.85546875" style="5" customWidth="1"/>
    <col min="2" max="3" width="7.7109375" style="5" customWidth="1"/>
    <col min="4" max="4" width="8.421875" style="5" bestFit="1" customWidth="1"/>
    <col min="5" max="5" width="5.8515625" style="5" bestFit="1" customWidth="1"/>
    <col min="6" max="6" width="12.28125" style="5" bestFit="1" customWidth="1"/>
    <col min="7" max="7" width="11.8515625" style="5" customWidth="1"/>
    <col min="8" max="8" width="13.140625" style="5" bestFit="1" customWidth="1"/>
    <col min="9" max="16" width="12.7109375" style="5" customWidth="1"/>
    <col min="17" max="17" width="9.28125" style="5" customWidth="1"/>
    <col min="18" max="19" width="6.7109375" style="5" customWidth="1"/>
    <col min="20" max="20" width="13.421875" style="5" bestFit="1" customWidth="1"/>
    <col min="21" max="21" width="9.140625" style="5" customWidth="1"/>
    <col min="22" max="22" width="12.57421875" style="5" bestFit="1" customWidth="1"/>
    <col min="23" max="16384" width="9.140625" style="5" customWidth="1"/>
  </cols>
  <sheetData>
    <row r="1" spans="2:20" ht="37.5" customHeight="1">
      <c r="B1" s="267" t="s">
        <v>413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</row>
    <row r="2" ht="6.75" customHeight="1" thickBot="1"/>
    <row r="3" spans="2:20" s="77" customFormat="1" ht="16.5" customHeight="1">
      <c r="B3" s="282" t="s">
        <v>386</v>
      </c>
      <c r="C3" s="283"/>
      <c r="D3" s="283"/>
      <c r="E3" s="324"/>
      <c r="F3" s="324"/>
      <c r="G3" s="325"/>
      <c r="H3" s="344" t="s">
        <v>181</v>
      </c>
      <c r="I3" s="158" t="s">
        <v>13</v>
      </c>
      <c r="J3" s="154" t="s">
        <v>390</v>
      </c>
      <c r="K3" s="228" t="s">
        <v>391</v>
      </c>
      <c r="L3" s="154" t="s">
        <v>179</v>
      </c>
      <c r="M3" s="155" t="s">
        <v>188</v>
      </c>
      <c r="N3" s="133" t="s">
        <v>190</v>
      </c>
      <c r="O3" s="162">
        <v>1</v>
      </c>
      <c r="P3" s="163"/>
      <c r="Q3" s="229"/>
      <c r="R3" s="230"/>
      <c r="S3" s="160"/>
      <c r="T3" s="161"/>
    </row>
    <row r="4" spans="2:25" s="77" customFormat="1" ht="16.5" customHeight="1" thickBot="1">
      <c r="B4" s="274" t="s">
        <v>385</v>
      </c>
      <c r="C4" s="275"/>
      <c r="D4" s="275"/>
      <c r="E4" s="276" t="str">
        <f>VLOOKUP($Y$4,'Güneş Şiddeti'!$B$112:$C$123,2,0)</f>
        <v>Ağustos</v>
      </c>
      <c r="F4" s="276"/>
      <c r="G4" s="277"/>
      <c r="H4" s="345"/>
      <c r="I4" s="80" t="s">
        <v>387</v>
      </c>
      <c r="J4" s="81">
        <f>VLOOKUP(E6,'Dış Hava'!$B$6:$S$60,10,0)</f>
        <v>-15</v>
      </c>
      <c r="K4" s="82">
        <v>20</v>
      </c>
      <c r="L4" s="81">
        <f>-J4+K4</f>
        <v>35</v>
      </c>
      <c r="M4" s="83"/>
      <c r="N4" s="79" t="s">
        <v>184</v>
      </c>
      <c r="O4" s="254">
        <f ca="1">TODAY()</f>
        <v>43479</v>
      </c>
      <c r="P4" s="164"/>
      <c r="Q4" s="89"/>
      <c r="R4" s="90"/>
      <c r="S4" s="326"/>
      <c r="T4" s="327"/>
      <c r="Y4" s="77">
        <v>8</v>
      </c>
    </row>
    <row r="5" spans="2:25" s="77" customFormat="1" ht="16.5" customHeight="1">
      <c r="B5" s="274" t="s">
        <v>187</v>
      </c>
      <c r="C5" s="275"/>
      <c r="D5" s="275"/>
      <c r="E5" s="324"/>
      <c r="F5" s="324"/>
      <c r="G5" s="325"/>
      <c r="H5" s="345"/>
      <c r="I5" s="80" t="s">
        <v>388</v>
      </c>
      <c r="J5" s="81">
        <f>VLOOKUP(E6,'Dış Hava'!$B$6:$S$60,11,0)</f>
        <v>35</v>
      </c>
      <c r="K5" s="82">
        <v>26</v>
      </c>
      <c r="L5" s="81">
        <f>+J5-K5</f>
        <v>9</v>
      </c>
      <c r="M5" s="156"/>
      <c r="N5" s="79" t="s">
        <v>185</v>
      </c>
      <c r="O5" s="268"/>
      <c r="P5" s="269"/>
      <c r="Q5" s="89"/>
      <c r="R5" s="90"/>
      <c r="S5" s="326"/>
      <c r="T5" s="327"/>
      <c r="Y5" s="77">
        <v>16</v>
      </c>
    </row>
    <row r="6" spans="2:20" s="77" customFormat="1" ht="16.5" customHeight="1">
      <c r="B6" s="274" t="s">
        <v>0</v>
      </c>
      <c r="C6" s="275"/>
      <c r="D6" s="275"/>
      <c r="E6" s="276" t="str">
        <f>VLOOKUP($Y$5,'Dış Hava'!$A$6:$B$60,2,0)</f>
        <v>Çorum</v>
      </c>
      <c r="F6" s="276"/>
      <c r="G6" s="277"/>
      <c r="H6" s="345"/>
      <c r="I6" s="80" t="s">
        <v>389</v>
      </c>
      <c r="J6" s="81">
        <f>VLOOKUP(E6,'Dış Hava'!$B$6:$S$60,13,0)</f>
        <v>22</v>
      </c>
      <c r="K6" s="82">
        <v>18.5</v>
      </c>
      <c r="L6" s="81">
        <f>+J6-K6</f>
        <v>3.5</v>
      </c>
      <c r="M6" s="248"/>
      <c r="N6" s="79" t="s">
        <v>411</v>
      </c>
      <c r="O6" s="268" t="s">
        <v>412</v>
      </c>
      <c r="P6" s="269"/>
      <c r="Q6" s="89"/>
      <c r="R6" s="90"/>
      <c r="S6" s="347"/>
      <c r="T6" s="348"/>
    </row>
    <row r="7" spans="2:20" s="77" customFormat="1" ht="16.5" customHeight="1">
      <c r="B7" s="278" t="s">
        <v>1</v>
      </c>
      <c r="C7" s="279"/>
      <c r="D7" s="280" t="s">
        <v>423</v>
      </c>
      <c r="E7" s="281"/>
      <c r="F7" s="78" t="s">
        <v>2</v>
      </c>
      <c r="G7" s="266"/>
      <c r="H7" s="345"/>
      <c r="I7" s="80" t="s">
        <v>393</v>
      </c>
      <c r="J7" s="247">
        <f>VLOOKUP(E6,'Dış Hava'!$B$6:$S$60,15,0)/100</f>
        <v>0.32</v>
      </c>
      <c r="K7" s="153">
        <v>0.5</v>
      </c>
      <c r="L7" s="152" t="s">
        <v>392</v>
      </c>
      <c r="M7" s="83"/>
      <c r="N7" s="79" t="s">
        <v>362</v>
      </c>
      <c r="O7" s="270"/>
      <c r="P7" s="271"/>
      <c r="Q7" s="333"/>
      <c r="R7" s="334"/>
      <c r="S7" s="334"/>
      <c r="T7" s="335"/>
    </row>
    <row r="8" spans="2:20" s="77" customFormat="1" ht="16.5" customHeight="1" thickBot="1">
      <c r="B8" s="179" t="s">
        <v>186</v>
      </c>
      <c r="C8" s="84"/>
      <c r="D8" s="328" t="s">
        <v>425</v>
      </c>
      <c r="E8" s="329"/>
      <c r="F8" s="329"/>
      <c r="G8" s="330"/>
      <c r="H8" s="346"/>
      <c r="I8" s="159" t="s">
        <v>189</v>
      </c>
      <c r="J8" s="131">
        <f>VLOOKUP(E6,'Dış Hava'!$B$6:$S$60,16,0)</f>
        <v>11.25</v>
      </c>
      <c r="K8" s="231">
        <v>10.5</v>
      </c>
      <c r="L8" s="157">
        <f>+J8-K8</f>
        <v>0.75</v>
      </c>
      <c r="M8" s="106"/>
      <c r="N8" s="132" t="s">
        <v>180</v>
      </c>
      <c r="O8" s="272"/>
      <c r="P8" s="273"/>
      <c r="Q8" s="336"/>
      <c r="R8" s="337"/>
      <c r="S8" s="337"/>
      <c r="T8" s="338"/>
    </row>
    <row r="9" spans="2:20" s="77" customFormat="1" ht="18" customHeight="1" thickBot="1">
      <c r="B9" s="232" t="s">
        <v>3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109"/>
    </row>
    <row r="10" spans="2:20" s="77" customFormat="1" ht="18" customHeight="1" thickBot="1">
      <c r="B10" s="339" t="s">
        <v>183</v>
      </c>
      <c r="C10" s="341" t="s">
        <v>4</v>
      </c>
      <c r="D10" s="341" t="s">
        <v>182</v>
      </c>
      <c r="E10" s="341" t="s">
        <v>5</v>
      </c>
      <c r="F10" s="317" t="s">
        <v>8</v>
      </c>
      <c r="G10" s="317" t="s">
        <v>9</v>
      </c>
      <c r="H10" s="319" t="s">
        <v>10</v>
      </c>
      <c r="I10" s="321" t="s">
        <v>11</v>
      </c>
      <c r="J10" s="322"/>
      <c r="K10" s="322"/>
      <c r="L10" s="322"/>
      <c r="M10" s="322"/>
      <c r="N10" s="322"/>
      <c r="O10" s="323"/>
      <c r="P10" s="321" t="s">
        <v>12</v>
      </c>
      <c r="Q10" s="322"/>
      <c r="R10" s="322"/>
      <c r="S10" s="322"/>
      <c r="T10" s="323"/>
    </row>
    <row r="11" spans="2:20" s="77" customFormat="1" ht="39.75" customHeight="1" thickBot="1">
      <c r="B11" s="340"/>
      <c r="C11" s="342"/>
      <c r="D11" s="343"/>
      <c r="E11" s="342"/>
      <c r="F11" s="318"/>
      <c r="G11" s="318"/>
      <c r="H11" s="320"/>
      <c r="I11" s="13" t="s">
        <v>168</v>
      </c>
      <c r="J11" s="14" t="s">
        <v>162</v>
      </c>
      <c r="K11" s="15" t="s">
        <v>163</v>
      </c>
      <c r="L11" s="16" t="s">
        <v>167</v>
      </c>
      <c r="M11" s="13" t="s">
        <v>164</v>
      </c>
      <c r="N11" s="14" t="s">
        <v>165</v>
      </c>
      <c r="O11" s="15" t="s">
        <v>166</v>
      </c>
      <c r="P11" s="17" t="s">
        <v>7</v>
      </c>
      <c r="Q11" s="127" t="s">
        <v>363</v>
      </c>
      <c r="R11" s="349" t="s">
        <v>48</v>
      </c>
      <c r="S11" s="350"/>
      <c r="T11" s="18" t="s">
        <v>6</v>
      </c>
    </row>
    <row r="12" spans="2:20" s="77" customFormat="1" ht="18" customHeight="1" thickBot="1">
      <c r="B12" s="32" t="s">
        <v>108</v>
      </c>
      <c r="C12" s="168" t="s">
        <v>424</v>
      </c>
      <c r="D12" s="96">
        <v>10.72</v>
      </c>
      <c r="E12" s="96">
        <v>1</v>
      </c>
      <c r="F12" s="169">
        <f aca="true" t="shared" si="0" ref="F12:F22">+D12*E12</f>
        <v>10.72</v>
      </c>
      <c r="G12" s="96"/>
      <c r="H12" s="170">
        <f>+F12-G12</f>
        <v>10.72</v>
      </c>
      <c r="I12" s="243">
        <f>IF(B12="Dp",VLOOKUP(C12,'Güneş Şiddeti'!$C$126:$P$134,4,0),0)</f>
        <v>0</v>
      </c>
      <c r="J12" s="244">
        <f>IF(B12="Dp",VLOOKUP(C12,'Güneş Şiddeti'!$C$126:$P$134,8,0),0)</f>
        <v>0</v>
      </c>
      <c r="K12" s="245">
        <f>IF(B12="Dp",VLOOKUP(C12,'Güneş Şiddeti'!$C$126:$P$134,12,0),0)</f>
        <v>0</v>
      </c>
      <c r="L12" s="246">
        <f>VLOOKUP(B12,'K Değerleri'!$C$3:$G$17,5,0)</f>
        <v>1</v>
      </c>
      <c r="M12" s="22">
        <f>+H12*I12*L12</f>
        <v>0</v>
      </c>
      <c r="N12" s="23">
        <f>+H12*J12*L12</f>
        <v>0</v>
      </c>
      <c r="O12" s="24">
        <f>+H12*K12*L12</f>
        <v>0</v>
      </c>
      <c r="P12" s="34">
        <f>VLOOKUP(B12,'K Değerleri'!$C$3:$E$35,3,0)</f>
        <v>0.38</v>
      </c>
      <c r="Q12" s="35">
        <f>VLOOKUP(B12,'K Değerleri'!$C$3:$P$17,VLOOKUP(C12,'K Değerleri'!$E$20:$F$28,2,0),0)</f>
        <v>22</v>
      </c>
      <c r="R12" s="331">
        <f>+P12*Q12</f>
        <v>8.36</v>
      </c>
      <c r="S12" s="332"/>
      <c r="T12" s="28">
        <f>+R12*H12</f>
        <v>89.61919999999999</v>
      </c>
    </row>
    <row r="13" spans="2:20" s="77" customFormat="1" ht="18" customHeight="1" thickBot="1">
      <c r="B13" s="32"/>
      <c r="C13" s="168"/>
      <c r="D13" s="96"/>
      <c r="E13" s="96"/>
      <c r="F13" s="19">
        <f t="shared" si="0"/>
        <v>0</v>
      </c>
      <c r="G13" s="9"/>
      <c r="H13" s="171">
        <f>+F13-G13</f>
        <v>0</v>
      </c>
      <c r="I13" s="243">
        <f>IF(B13="Dp",VLOOKUP(C13,'Güneş Şiddeti'!$C$126:$P$134,4,0),0)</f>
        <v>0</v>
      </c>
      <c r="J13" s="244">
        <f>IF(B13="Dp",VLOOKUP(C13,'Güneş Şiddeti'!$C$126:$P$134,8,0),0)</f>
        <v>0</v>
      </c>
      <c r="K13" s="245">
        <f>IF(B13="Dp",VLOOKUP(C13,'Güneş Şiddeti'!$C$126:$P$134,12,0),0)</f>
        <v>0</v>
      </c>
      <c r="L13" s="246">
        <f>VLOOKUP(B13,'K Değerleri'!$C$3:$G$17,5,0)</f>
        <v>0</v>
      </c>
      <c r="M13" s="25">
        <f>+H13*I13*L13</f>
        <v>0</v>
      </c>
      <c r="N13" s="26">
        <f>+H13*J13*L13</f>
        <v>0</v>
      </c>
      <c r="O13" s="27">
        <f>+H13*K13*L13</f>
        <v>0</v>
      </c>
      <c r="P13" s="36">
        <f>VLOOKUP(B13,'K Değerleri'!$C$3:$E$35,3,0)</f>
        <v>0</v>
      </c>
      <c r="Q13" s="35">
        <f>VLOOKUP(B13,'K Değerleri'!$C$3:$P$17,VLOOKUP(C13,'K Değerleri'!$E$20:$F$28,2,0),0)</f>
        <v>0</v>
      </c>
      <c r="R13" s="315">
        <f>+P13*Q13</f>
        <v>0</v>
      </c>
      <c r="S13" s="316"/>
      <c r="T13" s="29">
        <f>+R13*H13</f>
        <v>0</v>
      </c>
    </row>
    <row r="14" spans="2:20" s="77" customFormat="1" ht="18" customHeight="1">
      <c r="B14" s="32" t="s">
        <v>396</v>
      </c>
      <c r="C14" s="168" t="s">
        <v>424</v>
      </c>
      <c r="D14" s="8">
        <v>2</v>
      </c>
      <c r="E14" s="8">
        <v>1</v>
      </c>
      <c r="F14" s="19">
        <f t="shared" si="0"/>
        <v>2</v>
      </c>
      <c r="G14" s="9"/>
      <c r="H14" s="171">
        <f>+F14-G14</f>
        <v>2</v>
      </c>
      <c r="I14" s="243">
        <f>IF(B14="Dp",VLOOKUP(C14,'Güneş Şiddeti'!$C$126:$P$134,4,0),0)</f>
        <v>438.7931034482759</v>
      </c>
      <c r="J14" s="244">
        <f>IF(B14="Dp",VLOOKUP(C14,'Güneş Şiddeti'!$C$126:$P$134,8,0),0)</f>
        <v>37.931034482758626</v>
      </c>
      <c r="K14" s="245">
        <f>IF(B14="Dp",VLOOKUP(C14,'Güneş Şiddeti'!$C$126:$P$134,12,0),0)</f>
        <v>29.31034482758621</v>
      </c>
      <c r="L14" s="246">
        <f>VLOOKUP(B14,'K Değerleri'!$C$3:$G$17,5,0)</f>
        <v>0.8</v>
      </c>
      <c r="M14" s="25">
        <f>+H14*I14*L14</f>
        <v>702.0689655172414</v>
      </c>
      <c r="N14" s="26">
        <f>+H14*J14*L14</f>
        <v>60.68965517241381</v>
      </c>
      <c r="O14" s="27">
        <f>+H14*K14*L14</f>
        <v>46.896551724137936</v>
      </c>
      <c r="P14" s="36">
        <f>VLOOKUP(B14,'K Değerleri'!$C$3:$E$35,3,0)</f>
        <v>2.9</v>
      </c>
      <c r="Q14" s="35">
        <f>VLOOKUP(B14,'K Değerleri'!$C$3:$P$17,VLOOKUP(C14,'K Değerleri'!$E$20:$F$28,2,0),0)</f>
        <v>9</v>
      </c>
      <c r="R14" s="315">
        <f aca="true" t="shared" si="1" ref="R14:R22">+P14*Q14</f>
        <v>26.099999999999998</v>
      </c>
      <c r="S14" s="316"/>
      <c r="T14" s="29">
        <f aca="true" t="shared" si="2" ref="T14:T22">+R14*H14</f>
        <v>52.199999999999996</v>
      </c>
    </row>
    <row r="15" spans="2:20" s="77" customFormat="1" ht="18" customHeight="1">
      <c r="B15" s="32" t="s">
        <v>132</v>
      </c>
      <c r="C15" s="75"/>
      <c r="D15" s="8">
        <v>14</v>
      </c>
      <c r="E15" s="8">
        <v>1</v>
      </c>
      <c r="F15" s="19">
        <f t="shared" si="0"/>
        <v>14</v>
      </c>
      <c r="G15" s="9"/>
      <c r="H15" s="171">
        <f>+F15-G15</f>
        <v>14</v>
      </c>
      <c r="I15" s="243">
        <f>IF(B15="Dp",VLOOKUP(C15,'Güneş Şiddeti'!$C$126:$P$134,4,0),0)</f>
        <v>0</v>
      </c>
      <c r="J15" s="244">
        <f>IF(B15="Dp",VLOOKUP(C15,'Güneş Şiddeti'!$C$126:$P$134,8,0),0)</f>
        <v>0</v>
      </c>
      <c r="K15" s="245">
        <f>IF(B15="Dp",VLOOKUP(C15,'Güneş Şiddeti'!$C$126:$P$134,12,0),0)</f>
        <v>0</v>
      </c>
      <c r="L15" s="246">
        <f>VLOOKUP(B15,'K Değerleri'!$C$3:$G$17,5,0)</f>
        <v>1</v>
      </c>
      <c r="M15" s="25">
        <f>+H15*I15*L15</f>
        <v>0</v>
      </c>
      <c r="N15" s="26">
        <f>+H15*J15*L15</f>
        <v>0</v>
      </c>
      <c r="O15" s="27">
        <f>+H15*K15*L15</f>
        <v>0</v>
      </c>
      <c r="P15" s="36">
        <f>VLOOKUP(B15,'K Değerleri'!$C$3:$E$35,3,0)</f>
        <v>0.37</v>
      </c>
      <c r="Q15" s="35">
        <f>VLOOKUP(B15,'K Değerleri'!$C$3:$P$17,VLOOKUP(C15,'K Değerleri'!$E$20:$F$28,2,0),0)</f>
        <v>0</v>
      </c>
      <c r="R15" s="315">
        <f t="shared" si="1"/>
        <v>0</v>
      </c>
      <c r="S15" s="316"/>
      <c r="T15" s="29">
        <f t="shared" si="2"/>
        <v>0</v>
      </c>
    </row>
    <row r="16" spans="2:20" s="77" customFormat="1" ht="18" customHeight="1">
      <c r="B16" s="32"/>
      <c r="C16" s="75"/>
      <c r="D16" s="8"/>
      <c r="E16" s="8">
        <v>1</v>
      </c>
      <c r="F16" s="19">
        <f t="shared" si="0"/>
        <v>0</v>
      </c>
      <c r="G16" s="9"/>
      <c r="H16" s="171">
        <f aca="true" t="shared" si="3" ref="H16:H22">+F16-G16</f>
        <v>0</v>
      </c>
      <c r="I16" s="243">
        <f>IF(B16="Dp",VLOOKUP(C16,'Güneş Şiddeti'!$C$126:$P$134,4,0),0)</f>
        <v>0</v>
      </c>
      <c r="J16" s="244">
        <f>IF(B16="Dp",VLOOKUP(C16,'Güneş Şiddeti'!$C$126:$P$134,8,0),0)</f>
        <v>0</v>
      </c>
      <c r="K16" s="245">
        <f>IF(B16="Dp",VLOOKUP(C16,'Güneş Şiddeti'!$C$126:$P$134,12,0),0)</f>
        <v>0</v>
      </c>
      <c r="L16" s="246">
        <f>VLOOKUP(B16,'K Değerleri'!$C$3:$G$17,5,0)</f>
        <v>0</v>
      </c>
      <c r="M16" s="25">
        <f>+H16*I16*L16</f>
        <v>0</v>
      </c>
      <c r="N16" s="26">
        <f>+H16*J16*L16</f>
        <v>0</v>
      </c>
      <c r="O16" s="27">
        <f>+H16*K16*L16</f>
        <v>0</v>
      </c>
      <c r="P16" s="36">
        <f>VLOOKUP(B16,'K Değerleri'!$C$3:$E$35,3,0)</f>
        <v>0</v>
      </c>
      <c r="Q16" s="35">
        <f>VLOOKUP(B16,'K Değerleri'!$C$3:$P$17,VLOOKUP(C16,'K Değerleri'!$E$20:$F$28,2,0),0)</f>
        <v>0</v>
      </c>
      <c r="R16" s="315">
        <f t="shared" si="1"/>
        <v>0</v>
      </c>
      <c r="S16" s="316"/>
      <c r="T16" s="29">
        <f t="shared" si="2"/>
        <v>0</v>
      </c>
    </row>
    <row r="17" spans="2:20" s="77" customFormat="1" ht="18" customHeight="1" thickBot="1">
      <c r="B17" s="32"/>
      <c r="C17" s="75"/>
      <c r="D17" s="8"/>
      <c r="E17" s="8"/>
      <c r="F17" s="19">
        <f t="shared" si="0"/>
        <v>0</v>
      </c>
      <c r="G17" s="9"/>
      <c r="H17" s="171">
        <f t="shared" si="3"/>
        <v>0</v>
      </c>
      <c r="I17" s="243">
        <f>IF(B17="Dp",VLOOKUP(C17,'Güneş Şiddeti'!$C$126:$P$134,4,0),0)</f>
        <v>0</v>
      </c>
      <c r="J17" s="244">
        <f>IF(B17="Dp",VLOOKUP(C17,'Güneş Şiddeti'!$C$126:$P$134,8,0),0)</f>
        <v>0</v>
      </c>
      <c r="K17" s="245">
        <f>IF(B17="Dp",VLOOKUP(C17,'Güneş Şiddeti'!$C$126:$P$134,12,0),0)</f>
        <v>0</v>
      </c>
      <c r="L17" s="246">
        <f>VLOOKUP(B17,'K Değerleri'!$C$3:$G$17,5,0)</f>
        <v>0</v>
      </c>
      <c r="M17" s="25">
        <f aca="true" t="shared" si="4" ref="M17:M22">+H17*I17*L17</f>
        <v>0</v>
      </c>
      <c r="N17" s="26">
        <f aca="true" t="shared" si="5" ref="N17:N22">+H17*J17*L17</f>
        <v>0</v>
      </c>
      <c r="O17" s="27">
        <f aca="true" t="shared" si="6" ref="O17:O22">+H17*K17*L17</f>
        <v>0</v>
      </c>
      <c r="P17" s="36">
        <f>VLOOKUP(B17,'K Değerleri'!$C$3:$E$35,3,0)</f>
        <v>0</v>
      </c>
      <c r="Q17" s="35">
        <f>VLOOKUP(B17,'K Değerleri'!$C$3:$P$17,VLOOKUP(C17,'K Değerleri'!$E$20:$F$28,2,0),0)</f>
        <v>0</v>
      </c>
      <c r="R17" s="315">
        <f t="shared" si="1"/>
        <v>0</v>
      </c>
      <c r="S17" s="316"/>
      <c r="T17" s="29">
        <f t="shared" si="2"/>
        <v>0</v>
      </c>
    </row>
    <row r="18" spans="2:20" s="77" customFormat="1" ht="18" customHeight="1" thickBot="1">
      <c r="B18" s="32"/>
      <c r="C18" s="168"/>
      <c r="D18" s="96"/>
      <c r="E18" s="8"/>
      <c r="F18" s="19">
        <f t="shared" si="0"/>
        <v>0</v>
      </c>
      <c r="G18" s="9"/>
      <c r="H18" s="171">
        <f t="shared" si="3"/>
        <v>0</v>
      </c>
      <c r="I18" s="243">
        <f>IF(B18="Dp",VLOOKUP(C18,'Güneş Şiddeti'!$C$126:$P$134,4,0),0)</f>
        <v>0</v>
      </c>
      <c r="J18" s="244">
        <f>IF(B18="Dp",VLOOKUP(C18,'Güneş Şiddeti'!$C$126:$P$134,8,0),0)</f>
        <v>0</v>
      </c>
      <c r="K18" s="245">
        <f>IF(B18="Dp",VLOOKUP(C18,'Güneş Şiddeti'!$C$126:$P$134,12,0),0)</f>
        <v>0</v>
      </c>
      <c r="L18" s="246">
        <f>VLOOKUP(B18,'K Değerleri'!$C$3:$G$17,5,0)</f>
        <v>0</v>
      </c>
      <c r="M18" s="25">
        <f t="shared" si="4"/>
        <v>0</v>
      </c>
      <c r="N18" s="26">
        <f t="shared" si="5"/>
        <v>0</v>
      </c>
      <c r="O18" s="27">
        <f t="shared" si="6"/>
        <v>0</v>
      </c>
      <c r="P18" s="36">
        <f>VLOOKUP(B18,'K Değerleri'!$C$3:$E$35,3,0)</f>
        <v>0</v>
      </c>
      <c r="Q18" s="35">
        <f>VLOOKUP(B18,'K Değerleri'!$C$3:$P$17,VLOOKUP(C18,'K Değerleri'!$E$20:$F$28,2,0),0)</f>
        <v>0</v>
      </c>
      <c r="R18" s="315">
        <f t="shared" si="1"/>
        <v>0</v>
      </c>
      <c r="S18" s="316"/>
      <c r="T18" s="29">
        <f t="shared" si="2"/>
        <v>0</v>
      </c>
    </row>
    <row r="19" spans="2:20" s="77" customFormat="1" ht="18" customHeight="1" thickBot="1">
      <c r="B19" s="32"/>
      <c r="C19" s="168"/>
      <c r="D19" s="96"/>
      <c r="E19" s="8"/>
      <c r="F19" s="19">
        <f t="shared" si="0"/>
        <v>0</v>
      </c>
      <c r="G19" s="9"/>
      <c r="H19" s="171">
        <f t="shared" si="3"/>
        <v>0</v>
      </c>
      <c r="I19" s="243">
        <f>IF(B19="Dp",VLOOKUP(C19,'Güneş Şiddeti'!$C$126:$P$134,4,0),0)</f>
        <v>0</v>
      </c>
      <c r="J19" s="244">
        <f>IF(B19="Dp",VLOOKUP(C19,'Güneş Şiddeti'!$C$126:$P$134,8,0),0)</f>
        <v>0</v>
      </c>
      <c r="K19" s="245">
        <f>IF(B19="Dp",VLOOKUP(C19,'Güneş Şiddeti'!$C$126:$P$134,12,0),0)</f>
        <v>0</v>
      </c>
      <c r="L19" s="246">
        <f>VLOOKUP(B19,'K Değerleri'!$C$3:$G$17,5,0)</f>
        <v>0</v>
      </c>
      <c r="M19" s="25">
        <f t="shared" si="4"/>
        <v>0</v>
      </c>
      <c r="N19" s="26">
        <f t="shared" si="5"/>
        <v>0</v>
      </c>
      <c r="O19" s="27">
        <f t="shared" si="6"/>
        <v>0</v>
      </c>
      <c r="P19" s="36">
        <f>VLOOKUP(B19,'K Değerleri'!$C$3:$E$35,3,0)</f>
        <v>0</v>
      </c>
      <c r="Q19" s="35">
        <f>VLOOKUP(B19,'K Değerleri'!$C$3:$P$17,VLOOKUP(C19,'K Değerleri'!$E$20:$F$28,2,0),0)</f>
        <v>0</v>
      </c>
      <c r="R19" s="315">
        <f t="shared" si="1"/>
        <v>0</v>
      </c>
      <c r="S19" s="316"/>
      <c r="T19" s="29">
        <f t="shared" si="2"/>
        <v>0</v>
      </c>
    </row>
    <row r="20" spans="2:20" s="77" customFormat="1" ht="18" customHeight="1">
      <c r="B20" s="32"/>
      <c r="C20" s="168"/>
      <c r="D20" s="8"/>
      <c r="E20" s="8"/>
      <c r="F20" s="19">
        <f t="shared" si="0"/>
        <v>0</v>
      </c>
      <c r="G20" s="8"/>
      <c r="H20" s="171">
        <f t="shared" si="3"/>
        <v>0</v>
      </c>
      <c r="I20" s="243">
        <f>IF(B20="Dp",VLOOKUP(C20,'Güneş Şiddeti'!$C$126:$P$134,4,0),0)</f>
        <v>0</v>
      </c>
      <c r="J20" s="244">
        <f>IF(B20="Dp",VLOOKUP(C20,'Güneş Şiddeti'!$C$126:$P$134,8,0),0)</f>
        <v>0</v>
      </c>
      <c r="K20" s="245">
        <f>IF(B20="Dp",VLOOKUP(C20,'Güneş Şiddeti'!$C$126:$P$134,12,0),0)</f>
        <v>0</v>
      </c>
      <c r="L20" s="246">
        <f>VLOOKUP(B20,'K Değerleri'!$C$3:$G$17,5,0)</f>
        <v>0</v>
      </c>
      <c r="M20" s="25">
        <f t="shared" si="4"/>
        <v>0</v>
      </c>
      <c r="N20" s="26">
        <f t="shared" si="5"/>
        <v>0</v>
      </c>
      <c r="O20" s="27">
        <f t="shared" si="6"/>
        <v>0</v>
      </c>
      <c r="P20" s="36">
        <f>VLOOKUP(B20,'K Değerleri'!$C$3:$E$35,3,0)</f>
        <v>0</v>
      </c>
      <c r="Q20" s="35">
        <f>VLOOKUP(B20,'K Değerleri'!$C$3:$P$17,VLOOKUP(C20,'K Değerleri'!$E$20:$F$28,2,0),0)</f>
        <v>0</v>
      </c>
      <c r="R20" s="315">
        <f t="shared" si="1"/>
        <v>0</v>
      </c>
      <c r="S20" s="316"/>
      <c r="T20" s="29">
        <f t="shared" si="2"/>
        <v>0</v>
      </c>
    </row>
    <row r="21" spans="2:20" s="77" customFormat="1" ht="18" customHeight="1">
      <c r="B21" s="32"/>
      <c r="C21" s="75"/>
      <c r="D21" s="8"/>
      <c r="E21" s="8"/>
      <c r="F21" s="19">
        <f t="shared" si="0"/>
        <v>0</v>
      </c>
      <c r="G21" s="8"/>
      <c r="H21" s="171">
        <f t="shared" si="3"/>
        <v>0</v>
      </c>
      <c r="I21" s="243">
        <f>IF(B21="Dp",VLOOKUP(C21,'Güneş Şiddeti'!$C$126:$P$134,4,0),0)</f>
        <v>0</v>
      </c>
      <c r="J21" s="244">
        <f>IF(B21="Dp",VLOOKUP(C21,'Güneş Şiddeti'!$C$126:$P$134,8,0),0)</f>
        <v>0</v>
      </c>
      <c r="K21" s="245">
        <f>IF(B21="Dp",VLOOKUP(C21,'Güneş Şiddeti'!$C$126:$P$134,12,0),0)</f>
        <v>0</v>
      </c>
      <c r="L21" s="246">
        <f>VLOOKUP(B21,'K Değerleri'!$C$3:$G$17,5,0)</f>
        <v>0</v>
      </c>
      <c r="M21" s="25">
        <f t="shared" si="4"/>
        <v>0</v>
      </c>
      <c r="N21" s="26">
        <f t="shared" si="5"/>
        <v>0</v>
      </c>
      <c r="O21" s="27">
        <f t="shared" si="6"/>
        <v>0</v>
      </c>
      <c r="P21" s="36">
        <f>VLOOKUP(B21,'K Değerleri'!$C$3:$E$35,3,0)</f>
        <v>0</v>
      </c>
      <c r="Q21" s="35">
        <f>VLOOKUP(B21,'K Değerleri'!$C$3:$P$17,VLOOKUP(C21,'K Değerleri'!$E$20:$F$28,2,0),0)</f>
        <v>0</v>
      </c>
      <c r="R21" s="315">
        <f t="shared" si="1"/>
        <v>0</v>
      </c>
      <c r="S21" s="316"/>
      <c r="T21" s="29">
        <f t="shared" si="2"/>
        <v>0</v>
      </c>
    </row>
    <row r="22" spans="2:20" s="77" customFormat="1" ht="18" customHeight="1" thickBot="1">
      <c r="B22" s="33"/>
      <c r="C22" s="172"/>
      <c r="D22" s="10"/>
      <c r="E22" s="10"/>
      <c r="F22" s="20">
        <f t="shared" si="0"/>
        <v>0</v>
      </c>
      <c r="G22" s="255"/>
      <c r="H22" s="21">
        <f t="shared" si="3"/>
        <v>0</v>
      </c>
      <c r="I22" s="243">
        <f>IF(B22="Dp",VLOOKUP(C22,'Güneş Şiddeti'!$C$126:$P$134,4,0),0)</f>
        <v>0</v>
      </c>
      <c r="J22" s="244">
        <f>IF(B22="Dp",VLOOKUP(C22,'Güneş Şiddeti'!$C$126:$P$134,8,0),0)</f>
        <v>0</v>
      </c>
      <c r="K22" s="245">
        <f>IF(B22="Dp",VLOOKUP(C22,'Güneş Şiddeti'!$C$126:$P$134,12,0),0)</f>
        <v>0</v>
      </c>
      <c r="L22" s="246">
        <f>VLOOKUP(B22,'K Değerleri'!$C$3:$G$17,5,0)</f>
        <v>0</v>
      </c>
      <c r="M22" s="25">
        <f t="shared" si="4"/>
        <v>0</v>
      </c>
      <c r="N22" s="26">
        <f t="shared" si="5"/>
        <v>0</v>
      </c>
      <c r="O22" s="27">
        <f t="shared" si="6"/>
        <v>0</v>
      </c>
      <c r="P22" s="36">
        <f>VLOOKUP(B22,'K Değerleri'!$C$3:$E$35,3,0)</f>
        <v>0</v>
      </c>
      <c r="Q22" s="35">
        <f>VLOOKUP(B22,'K Değerleri'!$C$3:$P$17,VLOOKUP(C22,'K Değerleri'!$E$20:$F$28,2,0),0)</f>
        <v>0</v>
      </c>
      <c r="R22" s="315">
        <f t="shared" si="1"/>
        <v>0</v>
      </c>
      <c r="S22" s="316"/>
      <c r="T22" s="30">
        <f t="shared" si="2"/>
        <v>0</v>
      </c>
    </row>
    <row r="23" spans="2:20" s="77" customFormat="1" ht="18" customHeight="1" thickBot="1">
      <c r="B23" s="89"/>
      <c r="C23" s="90"/>
      <c r="D23" s="90"/>
      <c r="E23" s="90"/>
      <c r="F23" s="90"/>
      <c r="G23" s="90"/>
      <c r="H23" s="90"/>
      <c r="I23" s="91"/>
      <c r="J23" s="92"/>
      <c r="K23" s="92"/>
      <c r="L23" s="93" t="s">
        <v>14</v>
      </c>
      <c r="M23" s="251">
        <f>SUM(M12:M22)</f>
        <v>702.0689655172414</v>
      </c>
      <c r="N23" s="252">
        <f>SUM(N12:N22)</f>
        <v>60.68965517241381</v>
      </c>
      <c r="O23" s="253">
        <f>SUM(O12:O22)</f>
        <v>46.896551724137936</v>
      </c>
      <c r="P23" s="92"/>
      <c r="Q23" s="92"/>
      <c r="R23" s="92"/>
      <c r="S23" s="93" t="s">
        <v>15</v>
      </c>
      <c r="T23" s="94">
        <f>SUM(T12:T22)</f>
        <v>141.8192</v>
      </c>
    </row>
    <row r="24" spans="2:20" s="77" customFormat="1" ht="18" customHeight="1" thickBot="1">
      <c r="B24" s="86" t="s">
        <v>16</v>
      </c>
      <c r="C24" s="87"/>
      <c r="D24" s="87"/>
      <c r="E24" s="87"/>
      <c r="F24" s="87"/>
      <c r="G24" s="87"/>
      <c r="H24" s="87"/>
      <c r="I24" s="87"/>
      <c r="J24" s="87"/>
      <c r="K24" s="87"/>
      <c r="L24" s="90"/>
      <c r="M24" s="90"/>
      <c r="N24" s="90"/>
      <c r="O24" s="90"/>
      <c r="P24" s="90"/>
      <c r="Q24" s="90"/>
      <c r="R24" s="90"/>
      <c r="S24" s="90"/>
      <c r="T24" s="109"/>
    </row>
    <row r="25" spans="2:25" s="77" customFormat="1" ht="18" customHeight="1">
      <c r="B25" s="282" t="s">
        <v>17</v>
      </c>
      <c r="C25" s="283"/>
      <c r="D25" s="283"/>
      <c r="E25" s="283"/>
      <c r="F25" s="283"/>
      <c r="G25" s="283" t="s">
        <v>21</v>
      </c>
      <c r="H25" s="283"/>
      <c r="I25" s="311"/>
      <c r="J25" s="301" t="s">
        <v>170</v>
      </c>
      <c r="K25" s="302"/>
      <c r="L25" s="96">
        <v>6</v>
      </c>
      <c r="M25" s="95" t="s">
        <v>23</v>
      </c>
      <c r="N25" s="301" t="s">
        <v>174</v>
      </c>
      <c r="O25" s="302"/>
      <c r="P25" s="76">
        <f>VLOOKUP(Y25,İnsan!$A$8:$D$21,3,0)</f>
        <v>70</v>
      </c>
      <c r="Q25" s="312" t="s">
        <v>26</v>
      </c>
      <c r="R25" s="313"/>
      <c r="S25" s="313"/>
      <c r="T25" s="99">
        <f>+L25*P25</f>
        <v>420</v>
      </c>
      <c r="Y25" s="77">
        <v>3</v>
      </c>
    </row>
    <row r="26" spans="2:20" s="77" customFormat="1" ht="18" customHeight="1">
      <c r="B26" s="274" t="s">
        <v>18</v>
      </c>
      <c r="C26" s="275"/>
      <c r="D26" s="275"/>
      <c r="E26" s="275"/>
      <c r="F26" s="275"/>
      <c r="G26" s="275" t="s">
        <v>22</v>
      </c>
      <c r="H26" s="275"/>
      <c r="I26" s="314"/>
      <c r="J26" s="278" t="s">
        <v>173</v>
      </c>
      <c r="K26" s="279" t="s">
        <v>171</v>
      </c>
      <c r="L26" s="8">
        <v>25</v>
      </c>
      <c r="M26" s="83" t="s">
        <v>24</v>
      </c>
      <c r="N26" s="79" t="s">
        <v>177</v>
      </c>
      <c r="O26" s="82">
        <v>2</v>
      </c>
      <c r="P26" s="78" t="s">
        <v>27</v>
      </c>
      <c r="Q26" s="307" t="s">
        <v>176</v>
      </c>
      <c r="R26" s="279"/>
      <c r="S26" s="249">
        <v>0.25</v>
      </c>
      <c r="T26" s="101">
        <f>+L26*O26*S26*0.86</f>
        <v>10.75</v>
      </c>
    </row>
    <row r="27" spans="2:20" s="77" customFormat="1" ht="18" customHeight="1">
      <c r="B27" s="274" t="s">
        <v>19</v>
      </c>
      <c r="C27" s="275"/>
      <c r="D27" s="275"/>
      <c r="E27" s="275"/>
      <c r="F27" s="275"/>
      <c r="G27" s="308" t="s">
        <v>364</v>
      </c>
      <c r="H27" s="308"/>
      <c r="I27" s="309"/>
      <c r="J27" s="278" t="s">
        <v>172</v>
      </c>
      <c r="K27" s="279"/>
      <c r="L27" s="104">
        <v>90</v>
      </c>
      <c r="M27" s="103" t="s">
        <v>25</v>
      </c>
      <c r="N27" s="79" t="s">
        <v>178</v>
      </c>
      <c r="O27" s="87"/>
      <c r="P27" s="81">
        <v>0.1</v>
      </c>
      <c r="Q27" s="100" t="s">
        <v>179</v>
      </c>
      <c r="R27" s="80"/>
      <c r="S27" s="105">
        <f>+J5-K5</f>
        <v>9</v>
      </c>
      <c r="T27" s="101">
        <f>+L27*P27*S27*0.3</f>
        <v>24.3</v>
      </c>
    </row>
    <row r="28" spans="2:20" s="77" customFormat="1" ht="18" customHeight="1" thickBot="1">
      <c r="B28" s="294" t="s">
        <v>20</v>
      </c>
      <c r="C28" s="295"/>
      <c r="D28" s="295"/>
      <c r="E28" s="295"/>
      <c r="F28" s="305"/>
      <c r="G28" s="295" t="s">
        <v>361</v>
      </c>
      <c r="H28" s="295"/>
      <c r="I28" s="306"/>
      <c r="J28" s="296" t="s">
        <v>175</v>
      </c>
      <c r="K28" s="297"/>
      <c r="L28" s="10"/>
      <c r="M28" s="106" t="s">
        <v>24</v>
      </c>
      <c r="N28" s="79" t="s">
        <v>177</v>
      </c>
      <c r="O28" s="82">
        <v>2</v>
      </c>
      <c r="P28" s="78" t="s">
        <v>27</v>
      </c>
      <c r="Q28" s="307" t="s">
        <v>176</v>
      </c>
      <c r="R28" s="279"/>
      <c r="S28" s="249">
        <v>1</v>
      </c>
      <c r="T28" s="107">
        <f>+L28*O28*S28*0.86</f>
        <v>0</v>
      </c>
    </row>
    <row r="29" spans="2:20" s="77" customFormat="1" ht="18" customHeight="1" thickBot="1">
      <c r="B29" s="89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233"/>
      <c r="O29" s="234"/>
      <c r="P29" s="92"/>
      <c r="Q29" s="92"/>
      <c r="R29" s="92"/>
      <c r="S29" s="93" t="s">
        <v>28</v>
      </c>
      <c r="T29" s="94">
        <f>SUM(T25:T28)</f>
        <v>455.05</v>
      </c>
    </row>
    <row r="30" spans="2:20" s="77" customFormat="1" ht="18" customHeight="1" thickBot="1">
      <c r="B30" s="86" t="s">
        <v>29</v>
      </c>
      <c r="C30" s="87"/>
      <c r="D30" s="87"/>
      <c r="E30" s="87"/>
      <c r="F30" s="87"/>
      <c r="G30" s="87"/>
      <c r="H30" s="87"/>
      <c r="I30" s="87"/>
      <c r="J30" s="87"/>
      <c r="K30" s="87"/>
      <c r="L30" s="90"/>
      <c r="M30" s="90"/>
      <c r="N30" s="90"/>
      <c r="O30" s="90"/>
      <c r="P30" s="90"/>
      <c r="Q30" s="90"/>
      <c r="R30" s="90"/>
      <c r="S30" s="90"/>
      <c r="T30" s="109"/>
    </row>
    <row r="31" spans="2:20" s="77" customFormat="1" ht="18" customHeight="1">
      <c r="B31" s="282" t="s">
        <v>30</v>
      </c>
      <c r="C31" s="283"/>
      <c r="D31" s="283"/>
      <c r="E31" s="283"/>
      <c r="F31" s="283"/>
      <c r="G31" s="283" t="s">
        <v>21</v>
      </c>
      <c r="H31" s="283"/>
      <c r="I31" s="311"/>
      <c r="J31" s="301" t="s">
        <v>170</v>
      </c>
      <c r="K31" s="302"/>
      <c r="L31" s="76">
        <f>+L25</f>
        <v>6</v>
      </c>
      <c r="M31" s="95" t="s">
        <v>23</v>
      </c>
      <c r="N31" s="301" t="s">
        <v>174</v>
      </c>
      <c r="O31" s="302"/>
      <c r="P31" s="76">
        <f>VLOOKUP(Y25,İnsan!$A$8:$D$21,4,0)</f>
        <v>60</v>
      </c>
      <c r="Q31" s="312" t="s">
        <v>33</v>
      </c>
      <c r="R31" s="313"/>
      <c r="S31" s="313"/>
      <c r="T31" s="99">
        <f>+L31*P31</f>
        <v>360</v>
      </c>
    </row>
    <row r="32" spans="2:20" s="77" customFormat="1" ht="18" customHeight="1">
      <c r="B32" s="274" t="s">
        <v>31</v>
      </c>
      <c r="C32" s="275"/>
      <c r="D32" s="275"/>
      <c r="E32" s="275"/>
      <c r="F32" s="275"/>
      <c r="G32" s="308" t="s">
        <v>365</v>
      </c>
      <c r="H32" s="308"/>
      <c r="I32" s="309"/>
      <c r="J32" s="278" t="s">
        <v>172</v>
      </c>
      <c r="K32" s="279"/>
      <c r="L32" s="102">
        <f>+L27</f>
        <v>90</v>
      </c>
      <c r="M32" s="103" t="s">
        <v>25</v>
      </c>
      <c r="N32" s="79" t="s">
        <v>178</v>
      </c>
      <c r="O32" s="87"/>
      <c r="P32" s="250">
        <f>+P27</f>
        <v>0.1</v>
      </c>
      <c r="Q32" s="310">
        <f>+L8</f>
        <v>0.75</v>
      </c>
      <c r="R32" s="279"/>
      <c r="S32" s="128" t="s">
        <v>368</v>
      </c>
      <c r="T32" s="101">
        <f>+L32*P32*Q32*0.7</f>
        <v>4.725</v>
      </c>
    </row>
    <row r="33" spans="2:20" s="77" customFormat="1" ht="18" customHeight="1" thickBot="1">
      <c r="B33" s="294" t="s">
        <v>32</v>
      </c>
      <c r="C33" s="295"/>
      <c r="D33" s="295"/>
      <c r="E33" s="295"/>
      <c r="F33" s="305"/>
      <c r="G33" s="295" t="s">
        <v>361</v>
      </c>
      <c r="H33" s="295"/>
      <c r="I33" s="306"/>
      <c r="J33" s="296" t="s">
        <v>373</v>
      </c>
      <c r="K33" s="297"/>
      <c r="L33" s="10">
        <v>320</v>
      </c>
      <c r="M33" s="106" t="s">
        <v>24</v>
      </c>
      <c r="N33" s="79" t="s">
        <v>177</v>
      </c>
      <c r="O33" s="82">
        <v>2</v>
      </c>
      <c r="P33" s="78" t="s">
        <v>27</v>
      </c>
      <c r="Q33" s="307" t="s">
        <v>176</v>
      </c>
      <c r="R33" s="279"/>
      <c r="S33" s="249">
        <v>1</v>
      </c>
      <c r="T33" s="107">
        <f>+L33*O33*S33*0.86</f>
        <v>550.4</v>
      </c>
    </row>
    <row r="34" spans="2:20" s="77" customFormat="1" ht="18" customHeight="1" thickBot="1">
      <c r="B34" s="89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233"/>
      <c r="O34" s="234"/>
      <c r="P34" s="234"/>
      <c r="Q34" s="92"/>
      <c r="R34" s="92"/>
      <c r="S34" s="93" t="s">
        <v>34</v>
      </c>
      <c r="T34" s="94">
        <f>SUM(T31:T33)</f>
        <v>915.125</v>
      </c>
    </row>
    <row r="35" spans="2:20" s="77" customFormat="1" ht="18" customHeight="1" thickBot="1">
      <c r="B35" s="86" t="s">
        <v>35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8"/>
    </row>
    <row r="36" spans="2:20" s="77" customFormat="1" ht="18" customHeight="1">
      <c r="B36" s="282" t="s">
        <v>19</v>
      </c>
      <c r="C36" s="283"/>
      <c r="D36" s="283"/>
      <c r="E36" s="283"/>
      <c r="F36" s="283"/>
      <c r="G36" s="97" t="s">
        <v>366</v>
      </c>
      <c r="H36" s="98"/>
      <c r="I36" s="112"/>
      <c r="J36" s="301" t="s">
        <v>172</v>
      </c>
      <c r="K36" s="302"/>
      <c r="L36" s="113">
        <f>+L27</f>
        <v>90</v>
      </c>
      <c r="M36" s="114" t="s">
        <v>25</v>
      </c>
      <c r="N36" s="303" t="s">
        <v>191</v>
      </c>
      <c r="O36" s="304"/>
      <c r="P36" s="114">
        <f>1-P27</f>
        <v>0.9</v>
      </c>
      <c r="Q36" s="301">
        <f>+L5</f>
        <v>9</v>
      </c>
      <c r="R36" s="302"/>
      <c r="S36" s="129" t="s">
        <v>369</v>
      </c>
      <c r="T36" s="99">
        <f>+L36*Q36*0.3*P36</f>
        <v>218.70000000000002</v>
      </c>
    </row>
    <row r="37" spans="2:20" s="77" customFormat="1" ht="18" customHeight="1" thickBot="1">
      <c r="B37" s="294" t="s">
        <v>31</v>
      </c>
      <c r="C37" s="295"/>
      <c r="D37" s="295"/>
      <c r="E37" s="295"/>
      <c r="F37" s="295"/>
      <c r="G37" s="85" t="s">
        <v>367</v>
      </c>
      <c r="H37" s="110"/>
      <c r="I37" s="111"/>
      <c r="J37" s="296" t="s">
        <v>172</v>
      </c>
      <c r="K37" s="297"/>
      <c r="L37" s="84">
        <f>+L36</f>
        <v>90</v>
      </c>
      <c r="M37" s="106" t="s">
        <v>25</v>
      </c>
      <c r="N37" s="298" t="s">
        <v>191</v>
      </c>
      <c r="O37" s="299"/>
      <c r="P37" s="106">
        <f>+P36</f>
        <v>0.9</v>
      </c>
      <c r="Q37" s="300">
        <f>+L8</f>
        <v>0.75</v>
      </c>
      <c r="R37" s="297"/>
      <c r="S37" s="130" t="s">
        <v>368</v>
      </c>
      <c r="T37" s="107">
        <f>+L37*Q37*0.7*P37</f>
        <v>42.525</v>
      </c>
    </row>
    <row r="38" spans="2:20" s="77" customFormat="1" ht="18" customHeight="1" thickBot="1">
      <c r="B38" s="108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91"/>
      <c r="O38" s="92"/>
      <c r="P38" s="92"/>
      <c r="Q38" s="92"/>
      <c r="R38" s="92"/>
      <c r="S38" s="115" t="s">
        <v>36</v>
      </c>
      <c r="T38" s="116">
        <f>SUM(T36:T37)</f>
        <v>261.225</v>
      </c>
    </row>
    <row r="39" spans="2:20" s="77" customFormat="1" ht="18" customHeight="1">
      <c r="B39" s="108" t="s">
        <v>37</v>
      </c>
      <c r="C39" s="87"/>
      <c r="D39" s="290" t="s">
        <v>39</v>
      </c>
      <c r="E39" s="293" t="s">
        <v>40</v>
      </c>
      <c r="F39" s="293"/>
      <c r="G39" s="293"/>
      <c r="H39" s="293"/>
      <c r="I39" s="117"/>
      <c r="J39" s="87" t="s">
        <v>37</v>
      </c>
      <c r="K39" s="290" t="s">
        <v>39</v>
      </c>
      <c r="L39" s="293">
        <f>MAX(M23:O23)+T23+T29+T36</f>
        <v>1517.6381655172415</v>
      </c>
      <c r="M39" s="293"/>
      <c r="N39" s="293"/>
      <c r="O39" s="293"/>
      <c r="P39" s="293"/>
      <c r="Q39" s="293"/>
      <c r="R39" s="290" t="s">
        <v>39</v>
      </c>
      <c r="S39" s="290" t="s">
        <v>42</v>
      </c>
      <c r="T39" s="291">
        <f>+L39/L40</f>
        <v>0.5633425509966401</v>
      </c>
    </row>
    <row r="40" spans="2:20" s="77" customFormat="1" ht="18" customHeight="1">
      <c r="B40" s="108" t="s">
        <v>38</v>
      </c>
      <c r="C40" s="87"/>
      <c r="D40" s="290"/>
      <c r="E40" s="292" t="s">
        <v>41</v>
      </c>
      <c r="F40" s="292"/>
      <c r="G40" s="292"/>
      <c r="H40" s="292"/>
      <c r="I40" s="117"/>
      <c r="J40" s="87" t="s">
        <v>38</v>
      </c>
      <c r="K40" s="290"/>
      <c r="L40" s="292">
        <f>+L39+T34+T38</f>
        <v>2693.9881655172417</v>
      </c>
      <c r="M40" s="292"/>
      <c r="N40" s="292"/>
      <c r="O40" s="292"/>
      <c r="P40" s="292"/>
      <c r="Q40" s="292"/>
      <c r="R40" s="290"/>
      <c r="S40" s="290"/>
      <c r="T40" s="291"/>
    </row>
    <row r="41" spans="2:20" s="77" customFormat="1" ht="18" customHeight="1" thickBot="1">
      <c r="B41" s="108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8"/>
    </row>
    <row r="42" spans="2:20" s="77" customFormat="1" ht="18" customHeight="1">
      <c r="B42" s="89"/>
      <c r="C42" s="118" t="s">
        <v>193</v>
      </c>
      <c r="D42" s="119"/>
      <c r="E42" s="119"/>
      <c r="F42" s="120"/>
      <c r="G42" s="121">
        <v>0.3333333333333333</v>
      </c>
      <c r="H42" s="122">
        <v>0.5</v>
      </c>
      <c r="I42" s="123">
        <v>0.6666666666666666</v>
      </c>
      <c r="J42" s="90"/>
      <c r="K42" s="235" t="s">
        <v>193</v>
      </c>
      <c r="L42" s="230"/>
      <c r="M42" s="236"/>
      <c r="N42" s="237">
        <v>0.3333333333333333</v>
      </c>
      <c r="O42" s="238">
        <v>0.5</v>
      </c>
      <c r="P42" s="239">
        <v>0.6666666666666666</v>
      </c>
      <c r="Q42" s="90"/>
      <c r="R42" s="90"/>
      <c r="S42" s="90"/>
      <c r="T42" s="109"/>
    </row>
    <row r="43" spans="2:20" s="77" customFormat="1" ht="18" customHeight="1" thickBot="1">
      <c r="B43" s="89"/>
      <c r="C43" s="284" t="s">
        <v>192</v>
      </c>
      <c r="D43" s="285"/>
      <c r="E43" s="285"/>
      <c r="F43" s="286"/>
      <c r="G43" s="124">
        <f>+M23+T23+T29+T34+T38</f>
        <v>2475.2881655172414</v>
      </c>
      <c r="H43" s="125">
        <f>+N23+T23+T29+T34+T38</f>
        <v>1833.908855172414</v>
      </c>
      <c r="I43" s="126">
        <f>+O23+T23+T29+T34+T38</f>
        <v>1820.1157517241381</v>
      </c>
      <c r="J43" s="90"/>
      <c r="K43" s="287" t="s">
        <v>195</v>
      </c>
      <c r="L43" s="288"/>
      <c r="M43" s="289"/>
      <c r="N43" s="240">
        <f>+G43*4</f>
        <v>9901.152662068966</v>
      </c>
      <c r="O43" s="241">
        <f>+H43*4</f>
        <v>7335.635420689656</v>
      </c>
      <c r="P43" s="242">
        <f>+I43*4</f>
        <v>7280.4630068965525</v>
      </c>
      <c r="Q43" s="90"/>
      <c r="R43" s="90"/>
      <c r="S43" s="90"/>
      <c r="T43" s="109"/>
    </row>
    <row r="44" spans="2:20" s="77" customFormat="1" ht="16.5" customHeight="1" thickBot="1">
      <c r="B44" s="173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6"/>
    </row>
    <row r="45" s="77" customFormat="1" ht="16.5" customHeight="1"/>
    <row r="46" spans="6:9" s="77" customFormat="1" ht="16.5" customHeight="1">
      <c r="F46" s="257"/>
      <c r="I46" s="257"/>
    </row>
    <row r="47" spans="6:9" s="77" customFormat="1" ht="16.5" customHeight="1">
      <c r="F47" s="257"/>
      <c r="I47" s="257"/>
    </row>
    <row r="48" spans="6:9" s="77" customFormat="1" ht="16.5" customHeight="1">
      <c r="F48" s="257"/>
      <c r="I48" s="257"/>
    </row>
    <row r="49" spans="6:9" s="77" customFormat="1" ht="16.5" customHeight="1">
      <c r="F49" s="257"/>
      <c r="I49" s="257"/>
    </row>
    <row r="50" spans="6:11" s="77" customFormat="1" ht="16.5" customHeight="1">
      <c r="F50" s="257"/>
      <c r="I50" s="257"/>
      <c r="K50" s="256"/>
    </row>
    <row r="51" s="77" customFormat="1" ht="16.5" customHeight="1">
      <c r="I51" s="257"/>
    </row>
    <row r="52" s="77" customFormat="1" ht="16.5" customHeight="1">
      <c r="I52" s="257"/>
    </row>
    <row r="53" s="77" customFormat="1" ht="16.5" customHeight="1"/>
    <row r="54" s="77" customFormat="1" ht="16.5" customHeight="1"/>
    <row r="55" s="77" customFormat="1" ht="16.5" customHeight="1"/>
    <row r="56" s="77" customFormat="1" ht="16.5" customHeight="1"/>
    <row r="57" s="77" customFormat="1" ht="16.5" customHeight="1"/>
    <row r="58" s="77" customFormat="1" ht="16.5" customHeight="1"/>
    <row r="59" s="77" customFormat="1" ht="16.5" customHeight="1"/>
    <row r="60" s="77" customFormat="1" ht="16.5" customHeight="1"/>
    <row r="61" s="77" customFormat="1" ht="16.5" customHeight="1"/>
    <row r="62" s="77" customFormat="1" ht="16.5" customHeight="1"/>
    <row r="63" s="77" customFormat="1" ht="16.5" customHeight="1"/>
    <row r="64" s="77" customFormat="1" ht="16.5" customHeight="1"/>
    <row r="65" s="77" customFormat="1" ht="16.5" customHeight="1"/>
    <row r="66" s="77" customFormat="1" ht="16.5" customHeight="1"/>
    <row r="67" s="77" customFormat="1" ht="16.5" customHeight="1"/>
    <row r="68" s="77" customFormat="1" ht="16.5" customHeight="1"/>
    <row r="69" s="77" customFormat="1" ht="16.5" customHeight="1"/>
    <row r="70" s="77" customFormat="1" ht="16.5" customHeight="1"/>
    <row r="71" s="77" customFormat="1" ht="16.5" customHeight="1"/>
    <row r="72" s="77" customFormat="1" ht="16.5" customHeight="1"/>
    <row r="73" s="77" customFormat="1" ht="16.5" customHeight="1"/>
    <row r="74" s="77" customFormat="1" ht="16.5" customHeight="1"/>
    <row r="75" s="77" customFormat="1" ht="16.5" customHeight="1"/>
    <row r="76" s="77" customFormat="1" ht="16.5" customHeight="1"/>
    <row r="77" s="77" customFormat="1" ht="16.5" customHeight="1"/>
    <row r="78" s="77" customFormat="1" ht="16.5" customHeight="1"/>
    <row r="79" s="77" customFormat="1" ht="16.5" customHeight="1"/>
    <row r="80" s="77" customFormat="1" ht="16.5" customHeight="1"/>
    <row r="81" s="77" customFormat="1" ht="16.5" customHeight="1"/>
    <row r="82" s="77" customFormat="1" ht="16.5" customHeight="1"/>
    <row r="83" s="77" customFormat="1" ht="16.5" customHeight="1"/>
    <row r="84" s="77" customFormat="1" ht="16.5" customHeight="1"/>
    <row r="85" s="77" customFormat="1" ht="16.5" customHeight="1"/>
    <row r="86" s="77" customFormat="1" ht="16.5" customHeight="1"/>
    <row r="87" s="77" customFormat="1" ht="16.5" customHeight="1"/>
    <row r="88" s="77" customFormat="1" ht="16.5" customHeight="1"/>
    <row r="89" s="77" customFormat="1" ht="16.5" customHeight="1"/>
    <row r="90" s="77" customFormat="1" ht="16.5" customHeight="1"/>
    <row r="91" s="77" customFormat="1" ht="16.5" customHeight="1"/>
    <row r="92" s="77" customFormat="1" ht="16.5" customHeight="1"/>
    <row r="93" s="77" customFormat="1" ht="16.5" customHeight="1"/>
    <row r="94" s="77" customFormat="1" ht="16.5" customHeight="1"/>
    <row r="95" s="77" customFormat="1" ht="16.5" customHeight="1"/>
    <row r="96" s="77" customFormat="1" ht="16.5" customHeight="1"/>
    <row r="97" s="77" customFormat="1" ht="16.5" customHeight="1"/>
    <row r="98" s="77" customFormat="1" ht="16.5" customHeight="1"/>
    <row r="99" s="77" customFormat="1" ht="16.5" customHeight="1"/>
    <row r="100" s="77" customFormat="1" ht="16.5" customHeight="1"/>
    <row r="101" s="77" customFormat="1" ht="16.5" customHeight="1"/>
    <row r="102" s="77" customFormat="1" ht="16.5" customHeight="1"/>
    <row r="103" s="77" customFormat="1" ht="16.5" customHeight="1"/>
    <row r="104" s="77" customFormat="1" ht="16.5" customHeight="1"/>
    <row r="105" s="77" customFormat="1" ht="16.5" customHeight="1"/>
    <row r="106" s="77" customFormat="1" ht="16.5" customHeight="1"/>
    <row r="107" s="77" customFormat="1" ht="16.5" customHeight="1"/>
    <row r="108" s="77" customFormat="1" ht="16.5" customHeight="1"/>
    <row r="109" s="77" customFormat="1" ht="16.5" customHeight="1"/>
    <row r="110" s="77" customFormat="1" ht="16.5" customHeight="1"/>
    <row r="111" s="77" customFormat="1" ht="16.5" customHeight="1"/>
    <row r="112" s="77" customFormat="1" ht="16.5" customHeight="1"/>
    <row r="113" s="77" customFormat="1" ht="16.5" customHeight="1"/>
    <row r="114" s="77" customFormat="1" ht="16.5" customHeight="1"/>
    <row r="115" s="77" customFormat="1" ht="16.5" customHeight="1"/>
    <row r="116" s="77" customFormat="1" ht="16.5" customHeight="1"/>
    <row r="117" s="77" customFormat="1" ht="16.5" customHeight="1"/>
    <row r="118" s="77" customFormat="1" ht="16.5" customHeight="1"/>
    <row r="119" s="77" customFormat="1" ht="16.5" customHeight="1"/>
    <row r="120" s="77" customFormat="1" ht="16.5" customHeight="1"/>
    <row r="121" s="77" customFormat="1" ht="16.5" customHeight="1"/>
    <row r="122" s="77" customFormat="1" ht="16.5" customHeight="1"/>
    <row r="123" s="77" customFormat="1" ht="16.5" customHeight="1"/>
    <row r="124" s="77" customFormat="1" ht="16.5" customHeight="1"/>
    <row r="125" s="77" customFormat="1" ht="16.5" customHeight="1"/>
    <row r="126" s="77" customFormat="1" ht="16.5" customHeight="1"/>
    <row r="127" s="77" customFormat="1" ht="16.5" customHeight="1"/>
    <row r="128" s="77" customFormat="1" ht="16.5" customHeight="1"/>
    <row r="129" s="77" customFormat="1" ht="16.5" customHeight="1"/>
    <row r="130" s="77" customFormat="1" ht="16.5" customHeight="1"/>
    <row r="131" s="77" customFormat="1" ht="16.5" customHeight="1"/>
    <row r="132" s="77" customFormat="1" ht="16.5" customHeight="1"/>
    <row r="133" s="77" customFormat="1" ht="16.5" customHeight="1"/>
    <row r="134" s="77" customFormat="1" ht="16.5" customHeight="1"/>
    <row r="135" s="77" customFormat="1" ht="16.5" customHeight="1"/>
    <row r="136" s="77" customFormat="1" ht="16.5" customHeight="1"/>
    <row r="137" s="77" customFormat="1" ht="16.5" customHeight="1"/>
    <row r="138" s="77" customFormat="1" ht="16.5" customHeight="1"/>
    <row r="139" s="77" customFormat="1" ht="16.5" customHeight="1"/>
    <row r="140" s="77" customFormat="1" ht="16.5" customHeight="1"/>
    <row r="141" s="77" customFormat="1" ht="16.5" customHeight="1"/>
    <row r="142" s="77" customFormat="1" ht="16.5" customHeight="1"/>
    <row r="143" s="77" customFormat="1" ht="16.5" customHeight="1"/>
    <row r="144" s="77" customFormat="1" ht="16.5" customHeight="1"/>
    <row r="145" s="77" customFormat="1" ht="16.5" customHeight="1"/>
    <row r="146" s="77" customFormat="1" ht="16.5" customHeight="1"/>
    <row r="147" s="77" customFormat="1" ht="16.5" customHeight="1"/>
    <row r="148" s="77" customFormat="1" ht="16.5" customHeight="1"/>
    <row r="149" s="77" customFormat="1" ht="16.5" customHeight="1"/>
    <row r="150" s="77" customFormat="1" ht="16.5" customHeight="1"/>
    <row r="151" s="77" customFormat="1" ht="16.5" customHeight="1"/>
    <row r="152" s="77" customFormat="1" ht="16.5" customHeight="1"/>
    <row r="153" s="77" customFormat="1" ht="16.5" customHeight="1"/>
    <row r="154" s="77" customFormat="1" ht="16.5" customHeight="1"/>
    <row r="155" s="77" customFormat="1" ht="16.5" customHeight="1"/>
    <row r="156" s="77" customFormat="1" ht="16.5" customHeight="1"/>
    <row r="157" s="77" customFormat="1" ht="16.5" customHeight="1"/>
    <row r="158" s="77" customFormat="1" ht="16.5" customHeight="1"/>
    <row r="159" s="77" customFormat="1" ht="16.5" customHeight="1"/>
    <row r="160" s="77" customFormat="1" ht="16.5" customHeight="1"/>
    <row r="161" s="77" customFormat="1" ht="16.5" customHeight="1"/>
    <row r="162" s="77" customFormat="1" ht="16.5" customHeight="1"/>
    <row r="163" s="77" customFormat="1" ht="16.5" customHeight="1"/>
    <row r="164" s="77" customFormat="1" ht="16.5" customHeight="1"/>
    <row r="165" s="77" customFormat="1" ht="16.5" customHeight="1"/>
    <row r="166" s="77" customFormat="1" ht="16.5" customHeight="1"/>
    <row r="167" s="77" customFormat="1" ht="16.5" customHeight="1"/>
    <row r="168" s="77" customFormat="1" ht="16.5" customHeight="1"/>
    <row r="169" s="77" customFormat="1" ht="16.5" customHeight="1"/>
    <row r="170" s="77" customFormat="1" ht="16.5" customHeight="1"/>
    <row r="171" s="77" customFormat="1" ht="16.5" customHeight="1"/>
    <row r="172" s="77" customFormat="1" ht="16.5" customHeight="1"/>
    <row r="173" s="77" customFormat="1" ht="16.5" customHeight="1"/>
    <row r="174" s="77" customFormat="1" ht="16.5" customHeight="1"/>
    <row r="175" s="77" customFormat="1" ht="16.5" customHeight="1"/>
    <row r="176" s="77" customFormat="1" ht="16.5" customHeight="1"/>
    <row r="177" s="77" customFormat="1" ht="16.5" customHeight="1"/>
    <row r="178" s="77" customFormat="1" ht="16.5" customHeight="1"/>
    <row r="179" s="77" customFormat="1" ht="16.5" customHeight="1"/>
    <row r="180" s="77" customFormat="1" ht="16.5" customHeight="1"/>
    <row r="181" s="77" customFormat="1" ht="16.5" customHeight="1"/>
    <row r="182" s="77" customFormat="1" ht="16.5" customHeight="1"/>
    <row r="183" s="77" customFormat="1" ht="16.5" customHeight="1"/>
    <row r="184" s="77" customFormat="1" ht="16.5" customHeight="1"/>
    <row r="185" s="77" customFormat="1" ht="16.5" customHeight="1"/>
    <row r="186" s="77" customFormat="1" ht="16.5" customHeight="1"/>
    <row r="187" s="77" customFormat="1" ht="16.5" customHeight="1"/>
    <row r="188" s="77" customFormat="1" ht="16.5" customHeight="1"/>
    <row r="189" s="77" customFormat="1" ht="16.5" customHeight="1"/>
    <row r="190" s="77" customFormat="1" ht="16.5" customHeight="1"/>
    <row r="191" s="77" customFormat="1" ht="16.5" customHeight="1"/>
    <row r="192" s="77" customFormat="1" ht="16.5" customHeight="1"/>
    <row r="193" s="77" customFormat="1" ht="16.5" customHeight="1"/>
    <row r="194" s="77" customFormat="1" ht="16.5" customHeight="1"/>
    <row r="195" s="77" customFormat="1" ht="16.5" customHeight="1"/>
    <row r="196" s="77" customFormat="1" ht="16.5" customHeight="1"/>
    <row r="197" s="77" customFormat="1" ht="16.5" customHeight="1"/>
    <row r="198" s="77" customFormat="1" ht="16.5" customHeight="1"/>
    <row r="199" s="77" customFormat="1" ht="16.5" customHeight="1"/>
    <row r="200" s="77" customFormat="1" ht="16.5" customHeight="1"/>
    <row r="201" s="77" customFormat="1" ht="16.5" customHeight="1"/>
    <row r="202" s="77" customFormat="1" ht="16.5" customHeight="1"/>
    <row r="203" s="77" customFormat="1" ht="16.5" customHeight="1"/>
    <row r="204" s="77" customFormat="1" ht="16.5" customHeight="1"/>
    <row r="205" s="77" customFormat="1" ht="16.5" customHeight="1"/>
    <row r="206" s="77" customFormat="1" ht="16.5" customHeight="1"/>
    <row r="207" s="77" customFormat="1" ht="16.5" customHeight="1"/>
    <row r="208" s="77" customFormat="1" ht="16.5" customHeight="1"/>
    <row r="209" s="77" customFormat="1" ht="16.5" customHeight="1"/>
    <row r="210" s="77" customFormat="1" ht="16.5" customHeight="1"/>
    <row r="211" s="77" customFormat="1" ht="16.5" customHeight="1"/>
    <row r="212" s="77" customFormat="1" ht="16.5" customHeight="1"/>
    <row r="213" s="77" customFormat="1" ht="16.5" customHeight="1"/>
    <row r="214" s="77" customFormat="1" ht="16.5" customHeight="1"/>
    <row r="215" s="77" customFormat="1" ht="16.5" customHeight="1"/>
    <row r="216" s="77" customFormat="1" ht="16.5" customHeight="1"/>
    <row r="217" s="77" customFormat="1" ht="16.5" customHeight="1"/>
    <row r="218" s="77" customFormat="1" ht="16.5" customHeight="1"/>
    <row r="219" s="77" customFormat="1" ht="16.5" customHeight="1"/>
    <row r="220" s="77" customFormat="1" ht="16.5" customHeight="1"/>
    <row r="221" s="77" customFormat="1" ht="16.5" customHeight="1"/>
    <row r="222" s="77" customFormat="1" ht="16.5" customHeight="1"/>
    <row r="223" s="77" customFormat="1" ht="16.5" customHeight="1"/>
    <row r="224" s="77" customFormat="1" ht="16.5" customHeight="1"/>
    <row r="225" s="77" customFormat="1" ht="16.5" customHeight="1"/>
    <row r="226" s="77" customFormat="1" ht="16.5" customHeight="1"/>
    <row r="227" s="77" customFormat="1" ht="16.5" customHeight="1"/>
    <row r="228" s="77" customFormat="1" ht="16.5" customHeight="1"/>
    <row r="229" s="77" customFormat="1" ht="16.5" customHeight="1"/>
    <row r="230" s="77" customFormat="1" ht="16.5" customHeight="1"/>
    <row r="231" s="77" customFormat="1" ht="16.5" customHeight="1"/>
    <row r="232" s="77" customFormat="1" ht="16.5" customHeight="1"/>
    <row r="233" s="77" customFormat="1" ht="16.5" customHeight="1"/>
    <row r="234" s="77" customFormat="1" ht="16.5" customHeight="1"/>
    <row r="235" s="77" customFormat="1" ht="16.5" customHeight="1"/>
    <row r="236" s="77" customFormat="1" ht="16.5" customHeight="1"/>
    <row r="237" s="77" customFormat="1" ht="16.5" customHeight="1"/>
    <row r="238" s="77" customFormat="1" ht="16.5" customHeight="1"/>
    <row r="239" s="77" customFormat="1" ht="16.5" customHeight="1"/>
    <row r="240" s="77" customFormat="1" ht="16.5" customHeight="1"/>
    <row r="241" s="77" customFormat="1" ht="16.5" customHeight="1"/>
    <row r="242" s="77" customFormat="1" ht="16.5" customHeight="1"/>
    <row r="243" s="77" customFormat="1" ht="16.5" customHeight="1"/>
    <row r="244" s="77" customFormat="1" ht="16.5" customHeight="1"/>
    <row r="245" s="77" customFormat="1" ht="16.5" customHeight="1"/>
    <row r="246" s="77" customFormat="1" ht="16.5" customHeight="1"/>
    <row r="247" s="77" customFormat="1" ht="16.5" customHeight="1"/>
    <row r="248" s="77" customFormat="1" ht="16.5" customHeight="1"/>
    <row r="249" s="77" customFormat="1" ht="16.5" customHeight="1"/>
    <row r="250" s="77" customFormat="1" ht="16.5" customHeight="1"/>
    <row r="251" s="77" customFormat="1" ht="16.5" customHeight="1"/>
    <row r="252" s="77" customFormat="1" ht="16.5" customHeight="1"/>
    <row r="253" s="77" customFormat="1" ht="16.5" customHeight="1"/>
    <row r="254" s="77" customFormat="1" ht="16.5" customHeight="1"/>
  </sheetData>
  <sheetProtection/>
  <mergeCells count="90">
    <mergeCell ref="R14:S14"/>
    <mergeCell ref="R15:S15"/>
    <mergeCell ref="R16:S16"/>
    <mergeCell ref="R13:S13"/>
    <mergeCell ref="S5:T5"/>
    <mergeCell ref="S6:T6"/>
    <mergeCell ref="P10:T10"/>
    <mergeCell ref="R11:S11"/>
    <mergeCell ref="R12:S12"/>
    <mergeCell ref="Q7:T8"/>
    <mergeCell ref="B10:B11"/>
    <mergeCell ref="C10:C11"/>
    <mergeCell ref="D10:D11"/>
    <mergeCell ref="E10:E11"/>
    <mergeCell ref="H3:H8"/>
    <mergeCell ref="E3:G3"/>
    <mergeCell ref="S4:T4"/>
    <mergeCell ref="D8:G8"/>
    <mergeCell ref="B4:D4"/>
    <mergeCell ref="E4:G4"/>
    <mergeCell ref="B5:D5"/>
    <mergeCell ref="E5:G5"/>
    <mergeCell ref="R19:S19"/>
    <mergeCell ref="R20:S20"/>
    <mergeCell ref="R21:S21"/>
    <mergeCell ref="R22:S22"/>
    <mergeCell ref="F10:F11"/>
    <mergeCell ref="G10:G11"/>
    <mergeCell ref="H10:H11"/>
    <mergeCell ref="R18:S18"/>
    <mergeCell ref="I10:O10"/>
    <mergeCell ref="R17:S17"/>
    <mergeCell ref="Q25:S25"/>
    <mergeCell ref="B26:F26"/>
    <mergeCell ref="G26:I26"/>
    <mergeCell ref="J26:K26"/>
    <mergeCell ref="Q26:R26"/>
    <mergeCell ref="B25:F25"/>
    <mergeCell ref="G25:I25"/>
    <mergeCell ref="J25:K25"/>
    <mergeCell ref="N25:O25"/>
    <mergeCell ref="B27:F27"/>
    <mergeCell ref="G27:I27"/>
    <mergeCell ref="J27:K27"/>
    <mergeCell ref="B28:F28"/>
    <mergeCell ref="G28:I28"/>
    <mergeCell ref="J28:K28"/>
    <mergeCell ref="Q28:R28"/>
    <mergeCell ref="B31:F31"/>
    <mergeCell ref="G31:I31"/>
    <mergeCell ref="J31:K31"/>
    <mergeCell ref="N31:O31"/>
    <mergeCell ref="Q31:S31"/>
    <mergeCell ref="B33:F33"/>
    <mergeCell ref="G33:I33"/>
    <mergeCell ref="J33:K33"/>
    <mergeCell ref="Q33:R33"/>
    <mergeCell ref="B32:F32"/>
    <mergeCell ref="G32:I32"/>
    <mergeCell ref="J32:K32"/>
    <mergeCell ref="Q32:R32"/>
    <mergeCell ref="L39:Q39"/>
    <mergeCell ref="B37:F37"/>
    <mergeCell ref="J37:K37"/>
    <mergeCell ref="N37:O37"/>
    <mergeCell ref="Q37:R37"/>
    <mergeCell ref="B36:F36"/>
    <mergeCell ref="J36:K36"/>
    <mergeCell ref="N36:O36"/>
    <mergeCell ref="Q36:R36"/>
    <mergeCell ref="C43:F43"/>
    <mergeCell ref="K43:M43"/>
    <mergeCell ref="R39:R40"/>
    <mergeCell ref="S39:S40"/>
    <mergeCell ref="T39:T40"/>
    <mergeCell ref="E40:H40"/>
    <mergeCell ref="L40:Q40"/>
    <mergeCell ref="D39:D40"/>
    <mergeCell ref="E39:H39"/>
    <mergeCell ref="K39:K40"/>
    <mergeCell ref="B1:T1"/>
    <mergeCell ref="O6:P6"/>
    <mergeCell ref="O7:P7"/>
    <mergeCell ref="O8:P8"/>
    <mergeCell ref="O5:P5"/>
    <mergeCell ref="B6:D6"/>
    <mergeCell ref="E6:G6"/>
    <mergeCell ref="B7:C7"/>
    <mergeCell ref="D7:E7"/>
    <mergeCell ref="B3:D3"/>
  </mergeCells>
  <conditionalFormatting sqref="C12:C22">
    <cfRule type="expression" priority="1" dxfId="0" stopIfTrue="1">
      <formula>B12="Tv1"</formula>
    </cfRule>
    <cfRule type="expression" priority="2" dxfId="0" stopIfTrue="1">
      <formula>B12="Tv2"</formula>
    </cfRule>
  </conditionalFormatting>
  <printOptions horizontalCentered="1" verticalCentered="1"/>
  <pageMargins left="0.7480314960629921" right="0.7480314960629921" top="0.3937007874015748" bottom="0.3937007874015748" header="0.5118110236220472" footer="0.5118110236220472"/>
  <pageSetup horizontalDpi="300" verticalDpi="300" orientation="landscape" paperSize="9" scale="60" r:id="rId2"/>
  <colBreaks count="1" manualBreakCount="1">
    <brk id="20" max="65535" man="1"/>
  </colBreaks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B2:E45"/>
  <sheetViews>
    <sheetView zoomScalePageLayoutView="0" workbookViewId="0" topLeftCell="B1">
      <selection activeCell="C30" sqref="C30"/>
    </sheetView>
  </sheetViews>
  <sheetFormatPr defaultColWidth="9.140625" defaultRowHeight="12.75"/>
  <cols>
    <col min="2" max="2" width="45.57421875" style="0" customWidth="1"/>
    <col min="3" max="5" width="15.7109375" style="1" customWidth="1"/>
  </cols>
  <sheetData>
    <row r="1" ht="13.5" thickBot="1"/>
    <row r="2" spans="2:5" s="55" customFormat="1" ht="30.75" customHeight="1" thickBot="1">
      <c r="B2" s="68" t="s">
        <v>340</v>
      </c>
      <c r="C2" s="64" t="s">
        <v>341</v>
      </c>
      <c r="D2" s="56"/>
      <c r="E2" s="56"/>
    </row>
    <row r="3" spans="2:3" ht="12.75">
      <c r="B3" s="69" t="s">
        <v>342</v>
      </c>
      <c r="C3" s="65">
        <v>10</v>
      </c>
    </row>
    <row r="4" spans="2:3" ht="12.75">
      <c r="B4" s="70" t="s">
        <v>343</v>
      </c>
      <c r="C4" s="66">
        <v>25</v>
      </c>
    </row>
    <row r="5" spans="2:3" ht="13.5" thickBot="1">
      <c r="B5" s="71" t="s">
        <v>344</v>
      </c>
      <c r="C5" s="67">
        <v>50</v>
      </c>
    </row>
    <row r="7" ht="13.5" thickBot="1"/>
    <row r="8" spans="2:5" ht="29.25" customHeight="1" thickBot="1">
      <c r="B8" s="68" t="s">
        <v>345</v>
      </c>
      <c r="C8" s="72" t="s">
        <v>347</v>
      </c>
      <c r="D8" s="63" t="s">
        <v>324</v>
      </c>
      <c r="E8" s="60" t="s">
        <v>325</v>
      </c>
    </row>
    <row r="9" spans="2:5" ht="12.75">
      <c r="B9" s="365" t="s">
        <v>346</v>
      </c>
      <c r="C9" s="134">
        <v>3000</v>
      </c>
      <c r="D9" s="135">
        <v>1500</v>
      </c>
      <c r="E9" s="136">
        <v>1500</v>
      </c>
    </row>
    <row r="10" spans="2:5" ht="13.5" thickBot="1">
      <c r="B10" s="366"/>
      <c r="C10" s="74">
        <v>5000</v>
      </c>
      <c r="D10" s="58">
        <v>2500</v>
      </c>
      <c r="E10" s="59">
        <v>2500</v>
      </c>
    </row>
    <row r="11" spans="2:5" ht="13.5" thickBot="1">
      <c r="B11" s="137" t="s">
        <v>348</v>
      </c>
      <c r="C11" s="138">
        <v>200</v>
      </c>
      <c r="D11" s="139">
        <v>50</v>
      </c>
      <c r="E11" s="140">
        <v>0</v>
      </c>
    </row>
    <row r="12" spans="2:5" ht="12.75">
      <c r="B12" s="365" t="s">
        <v>349</v>
      </c>
      <c r="C12" s="134">
        <v>3000</v>
      </c>
      <c r="D12" s="135">
        <v>1500</v>
      </c>
      <c r="E12" s="136">
        <v>1500</v>
      </c>
    </row>
    <row r="13" spans="2:5" ht="13.5" thickBot="1">
      <c r="B13" s="366"/>
      <c r="C13" s="74">
        <v>6000</v>
      </c>
      <c r="D13" s="58">
        <v>3000</v>
      </c>
      <c r="E13" s="59">
        <v>3000</v>
      </c>
    </row>
    <row r="14" spans="2:5" ht="12.75">
      <c r="B14" s="365" t="s">
        <v>350</v>
      </c>
      <c r="C14" s="134">
        <v>100</v>
      </c>
      <c r="D14" s="135">
        <v>290</v>
      </c>
      <c r="E14" s="136">
        <v>0</v>
      </c>
    </row>
    <row r="15" spans="2:5" ht="13.5" thickBot="1">
      <c r="B15" s="366"/>
      <c r="C15" s="74">
        <v>175</v>
      </c>
      <c r="D15" s="58">
        <v>520</v>
      </c>
      <c r="E15" s="59">
        <v>0</v>
      </c>
    </row>
    <row r="16" spans="2:5" ht="13.5" thickBot="1">
      <c r="B16" s="141" t="s">
        <v>351</v>
      </c>
      <c r="C16" s="142">
        <v>500</v>
      </c>
      <c r="D16" s="143">
        <v>230</v>
      </c>
      <c r="E16" s="144">
        <v>270</v>
      </c>
    </row>
    <row r="17" spans="2:5" ht="13.5" thickBot="1">
      <c r="B17" s="137" t="s">
        <v>352</v>
      </c>
      <c r="C17" s="138">
        <v>40</v>
      </c>
      <c r="D17" s="139">
        <v>40</v>
      </c>
      <c r="E17" s="140">
        <v>0</v>
      </c>
    </row>
    <row r="18" spans="2:5" ht="12.75">
      <c r="B18" s="365" t="s">
        <v>353</v>
      </c>
      <c r="C18" s="134">
        <v>1000</v>
      </c>
      <c r="D18" s="135">
        <v>1000</v>
      </c>
      <c r="E18" s="136">
        <v>0</v>
      </c>
    </row>
    <row r="19" spans="2:5" ht="13.5" thickBot="1">
      <c r="B19" s="366"/>
      <c r="C19" s="74">
        <v>2000</v>
      </c>
      <c r="D19" s="58">
        <v>2000</v>
      </c>
      <c r="E19" s="59">
        <v>0</v>
      </c>
    </row>
    <row r="20" spans="2:5" ht="12.75">
      <c r="B20" s="363" t="s">
        <v>354</v>
      </c>
      <c r="C20" s="73">
        <v>500</v>
      </c>
      <c r="D20" s="61">
        <v>180</v>
      </c>
      <c r="E20" s="62">
        <v>70</v>
      </c>
    </row>
    <row r="21" spans="2:5" ht="13.5" thickBot="1">
      <c r="B21" s="364"/>
      <c r="C21" s="145">
        <v>3000</v>
      </c>
      <c r="D21" s="146">
        <v>1130</v>
      </c>
      <c r="E21" s="147">
        <v>370</v>
      </c>
    </row>
    <row r="22" spans="2:5" ht="12.75">
      <c r="B22" s="365" t="s">
        <v>355</v>
      </c>
      <c r="C22" s="134">
        <v>500</v>
      </c>
      <c r="D22" s="135">
        <v>200</v>
      </c>
      <c r="E22" s="136">
        <v>50</v>
      </c>
    </row>
    <row r="23" spans="2:5" ht="13.5" thickBot="1">
      <c r="B23" s="366"/>
      <c r="C23" s="74">
        <v>2000</v>
      </c>
      <c r="D23" s="58">
        <v>800</v>
      </c>
      <c r="E23" s="59">
        <v>200</v>
      </c>
    </row>
    <row r="24" spans="2:5" ht="12.75">
      <c r="B24" s="363" t="s">
        <v>356</v>
      </c>
      <c r="C24" s="73">
        <v>500</v>
      </c>
      <c r="D24" s="61">
        <v>180</v>
      </c>
      <c r="E24" s="62">
        <v>70</v>
      </c>
    </row>
    <row r="25" spans="2:5" ht="13.5" thickBot="1">
      <c r="B25" s="364"/>
      <c r="C25" s="145">
        <v>1000</v>
      </c>
      <c r="D25" s="146">
        <v>350</v>
      </c>
      <c r="E25" s="147">
        <v>150</v>
      </c>
    </row>
    <row r="26" spans="2:5" ht="12.75">
      <c r="B26" s="365" t="s">
        <v>357</v>
      </c>
      <c r="C26" s="134">
        <v>500</v>
      </c>
      <c r="D26" s="135">
        <v>110</v>
      </c>
      <c r="E26" s="136">
        <v>140</v>
      </c>
    </row>
    <row r="27" spans="2:5" ht="13.5" thickBot="1">
      <c r="B27" s="366"/>
      <c r="C27" s="74">
        <v>1000</v>
      </c>
      <c r="D27" s="58">
        <v>220</v>
      </c>
      <c r="E27" s="59">
        <v>280</v>
      </c>
    </row>
    <row r="28" spans="2:5" ht="13.5" thickBot="1">
      <c r="B28" s="137" t="s">
        <v>358</v>
      </c>
      <c r="C28" s="138">
        <v>3000</v>
      </c>
      <c r="D28" s="139">
        <v>1130</v>
      </c>
      <c r="E28" s="140">
        <v>370</v>
      </c>
    </row>
    <row r="29" spans="2:5" ht="13.5" thickBot="1">
      <c r="B29" s="141" t="s">
        <v>359</v>
      </c>
      <c r="C29" s="142">
        <v>1500</v>
      </c>
      <c r="D29" s="143">
        <v>300</v>
      </c>
      <c r="E29" s="144">
        <v>70</v>
      </c>
    </row>
    <row r="30" spans="2:5" ht="13.5" thickBot="1">
      <c r="B30" s="148" t="s">
        <v>360</v>
      </c>
      <c r="C30" s="149">
        <v>30</v>
      </c>
      <c r="D30" s="150">
        <v>30</v>
      </c>
      <c r="E30" s="151">
        <v>0</v>
      </c>
    </row>
    <row r="31" ht="12.75">
      <c r="B31" s="57"/>
    </row>
    <row r="32" ht="12.75">
      <c r="B32" s="57"/>
    </row>
    <row r="33" ht="12.75">
      <c r="B33" s="57"/>
    </row>
    <row r="34" ht="12.75">
      <c r="B34" s="57"/>
    </row>
    <row r="35" ht="12.75">
      <c r="B35" s="57"/>
    </row>
    <row r="36" ht="12.75">
      <c r="B36" s="57"/>
    </row>
    <row r="37" ht="12.75">
      <c r="B37" s="57"/>
    </row>
    <row r="38" ht="12.75">
      <c r="B38" s="57"/>
    </row>
    <row r="39" ht="12.75">
      <c r="B39" s="57"/>
    </row>
    <row r="40" ht="12.75">
      <c r="B40" s="57"/>
    </row>
    <row r="41" ht="12.75">
      <c r="B41" s="57"/>
    </row>
    <row r="42" ht="12.75">
      <c r="B42" s="57"/>
    </row>
    <row r="43" ht="12.75">
      <c r="B43" s="57"/>
    </row>
    <row r="44" ht="12.75">
      <c r="B44" s="57"/>
    </row>
    <row r="45" ht="12.75">
      <c r="B45" s="57"/>
    </row>
  </sheetData>
  <sheetProtection/>
  <mergeCells count="8">
    <mergeCell ref="B20:B21"/>
    <mergeCell ref="B22:B23"/>
    <mergeCell ref="B24:B25"/>
    <mergeCell ref="B26:B27"/>
    <mergeCell ref="B9:B10"/>
    <mergeCell ref="B12:B13"/>
    <mergeCell ref="B14:B15"/>
    <mergeCell ref="B18:B19"/>
  </mergeCells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/>
  <dimension ref="A1:AY134"/>
  <sheetViews>
    <sheetView zoomScale="75" zoomScaleNormal="75" zoomScalePageLayoutView="0" workbookViewId="0" topLeftCell="A1">
      <selection activeCell="R66" sqref="R66:R74"/>
    </sheetView>
  </sheetViews>
  <sheetFormatPr defaultColWidth="9.140625" defaultRowHeight="12.75"/>
  <cols>
    <col min="1" max="1" width="11.7109375" style="31" customWidth="1"/>
    <col min="2" max="2" width="5.7109375" style="31" customWidth="1"/>
    <col min="3" max="3" width="9.140625" style="31" customWidth="1"/>
    <col min="4" max="16" width="6.7109375" style="31" customWidth="1"/>
    <col min="17" max="17" width="1.28515625" style="31" customWidth="1"/>
    <col min="18" max="18" width="5.7109375" style="31" customWidth="1"/>
    <col min="19" max="19" width="9.140625" style="31" customWidth="1"/>
    <col min="20" max="32" width="6.7109375" style="31" customWidth="1"/>
    <col min="33" max="36" width="9.140625" style="31" customWidth="1"/>
    <col min="37" max="37" width="5.7109375" style="31" customWidth="1"/>
    <col min="38" max="38" width="9.140625" style="31" customWidth="1"/>
    <col min="39" max="51" width="6.7109375" style="31" customWidth="1"/>
    <col min="52" max="16384" width="9.140625" style="31" customWidth="1"/>
  </cols>
  <sheetData>
    <row r="1" spans="2:37" ht="12.75">
      <c r="B1" s="180" t="s">
        <v>400</v>
      </c>
      <c r="R1" s="180" t="s">
        <v>400</v>
      </c>
      <c r="AK1" s="180" t="s">
        <v>399</v>
      </c>
    </row>
    <row r="2" spans="3:51" s="181" customFormat="1" ht="13.5" thickBot="1">
      <c r="C2" s="182"/>
      <c r="D2" s="182">
        <v>0.25</v>
      </c>
      <c r="E2" s="182">
        <v>0.291666666666667</v>
      </c>
      <c r="F2" s="182">
        <v>0.333333333333334</v>
      </c>
      <c r="G2" s="182">
        <v>0.375</v>
      </c>
      <c r="H2" s="182">
        <v>0.416666666666667</v>
      </c>
      <c r="I2" s="182">
        <v>0.458333333333334</v>
      </c>
      <c r="J2" s="182">
        <v>0.5</v>
      </c>
      <c r="K2" s="182">
        <v>0.541666666666667</v>
      </c>
      <c r="L2" s="182">
        <v>0.583333333333334</v>
      </c>
      <c r="M2" s="182">
        <v>0.625</v>
      </c>
      <c r="N2" s="182">
        <v>0.666666666666667</v>
      </c>
      <c r="O2" s="182">
        <v>0.708333333333334</v>
      </c>
      <c r="P2" s="182">
        <v>0.75</v>
      </c>
      <c r="S2" s="182"/>
      <c r="T2" s="182">
        <v>0.25</v>
      </c>
      <c r="U2" s="182">
        <v>0.291666666666667</v>
      </c>
      <c r="V2" s="182">
        <v>0.333333333333334</v>
      </c>
      <c r="W2" s="182">
        <v>0.375</v>
      </c>
      <c r="X2" s="182">
        <v>0.416666666666667</v>
      </c>
      <c r="Y2" s="182">
        <v>0.458333333333334</v>
      </c>
      <c r="Z2" s="182">
        <v>0.5</v>
      </c>
      <c r="AA2" s="182">
        <v>0.541666666666667</v>
      </c>
      <c r="AB2" s="182">
        <v>0.583333333333334</v>
      </c>
      <c r="AC2" s="182">
        <v>0.625</v>
      </c>
      <c r="AD2" s="182">
        <v>0.666666666666667</v>
      </c>
      <c r="AE2" s="182">
        <v>0.708333333333334</v>
      </c>
      <c r="AF2" s="182">
        <v>0.75</v>
      </c>
      <c r="AL2" s="182"/>
      <c r="AM2" s="182">
        <v>0.25</v>
      </c>
      <c r="AN2" s="182">
        <v>0.291666666666667</v>
      </c>
      <c r="AO2" s="182">
        <v>0.333333333333334</v>
      </c>
      <c r="AP2" s="182">
        <v>0.375</v>
      </c>
      <c r="AQ2" s="182">
        <v>0.416666666666667</v>
      </c>
      <c r="AR2" s="182">
        <v>0.458333333333334</v>
      </c>
      <c r="AS2" s="182">
        <v>0.5</v>
      </c>
      <c r="AT2" s="182">
        <v>0.541666666666667</v>
      </c>
      <c r="AU2" s="182">
        <v>0.583333333333334</v>
      </c>
      <c r="AV2" s="182">
        <v>0.625</v>
      </c>
      <c r="AW2" s="182">
        <v>0.666666666666667</v>
      </c>
      <c r="AX2" s="182">
        <v>0.708333333333334</v>
      </c>
      <c r="AY2" s="182">
        <v>0.75</v>
      </c>
    </row>
    <row r="3" spans="1:51" ht="12.75" customHeight="1">
      <c r="A3" s="183"/>
      <c r="B3" s="367" t="s">
        <v>401</v>
      </c>
      <c r="C3" s="184" t="s">
        <v>384</v>
      </c>
      <c r="D3" s="185">
        <v>0</v>
      </c>
      <c r="E3" s="185">
        <v>0</v>
      </c>
      <c r="F3" s="185">
        <v>1.7241379310344829</v>
      </c>
      <c r="G3" s="185">
        <v>10.344827586206897</v>
      </c>
      <c r="H3" s="185">
        <v>16.379310344827587</v>
      </c>
      <c r="I3" s="185">
        <v>20.689655172413794</v>
      </c>
      <c r="J3" s="185">
        <v>24.13793103448276</v>
      </c>
      <c r="K3" s="185">
        <v>20.689655172413794</v>
      </c>
      <c r="L3" s="185">
        <v>16.379310344827587</v>
      </c>
      <c r="M3" s="185">
        <v>10.344827586206897</v>
      </c>
      <c r="N3" s="185">
        <v>1.7241379310344829</v>
      </c>
      <c r="O3" s="185">
        <v>0</v>
      </c>
      <c r="P3" s="186">
        <v>0</v>
      </c>
      <c r="Q3" s="183"/>
      <c r="R3" s="367" t="s">
        <v>384</v>
      </c>
      <c r="S3" s="184" t="s">
        <v>43</v>
      </c>
      <c r="T3" s="185">
        <f>+AM3/1.16</f>
        <v>0</v>
      </c>
      <c r="U3" s="185">
        <f aca="true" t="shared" si="0" ref="U3:U66">+AN3/1.16</f>
        <v>0</v>
      </c>
      <c r="V3" s="185">
        <f aca="true" t="shared" si="1" ref="V3:V66">+AO3/1.16</f>
        <v>1.7241379310344829</v>
      </c>
      <c r="W3" s="185">
        <f aca="true" t="shared" si="2" ref="W3:W66">+AP3/1.16</f>
        <v>10.344827586206897</v>
      </c>
      <c r="X3" s="185">
        <f aca="true" t="shared" si="3" ref="X3:X66">+AQ3/1.16</f>
        <v>16.379310344827587</v>
      </c>
      <c r="Y3" s="185">
        <f aca="true" t="shared" si="4" ref="Y3:Y66">+AR3/1.16</f>
        <v>20.689655172413794</v>
      </c>
      <c r="Z3" s="185">
        <f aca="true" t="shared" si="5" ref="Z3:Z66">+AS3/1.16</f>
        <v>24.13793103448276</v>
      </c>
      <c r="AA3" s="185">
        <f aca="true" t="shared" si="6" ref="AA3:AA66">+AT3/1.16</f>
        <v>20.689655172413794</v>
      </c>
      <c r="AB3" s="185">
        <f aca="true" t="shared" si="7" ref="AB3:AB66">+AU3/1.16</f>
        <v>16.379310344827587</v>
      </c>
      <c r="AC3" s="185">
        <f aca="true" t="shared" si="8" ref="AC3:AC66">+AV3/1.16</f>
        <v>10.344827586206897</v>
      </c>
      <c r="AD3" s="185">
        <f aca="true" t="shared" si="9" ref="AD3:AD66">+AW3/1.16</f>
        <v>1.7241379310344829</v>
      </c>
      <c r="AE3" s="185">
        <f aca="true" t="shared" si="10" ref="AE3:AE66">+AX3/1.16</f>
        <v>0</v>
      </c>
      <c r="AF3" s="186">
        <f aca="true" t="shared" si="11" ref="AF3:AF66">+AY3/1.16</f>
        <v>0</v>
      </c>
      <c r="AK3" s="367" t="s">
        <v>384</v>
      </c>
      <c r="AL3" s="184" t="s">
        <v>43</v>
      </c>
      <c r="AM3" s="187">
        <v>0</v>
      </c>
      <c r="AN3" s="187">
        <v>0</v>
      </c>
      <c r="AO3" s="187">
        <v>2</v>
      </c>
      <c r="AP3" s="187">
        <v>12</v>
      </c>
      <c r="AQ3" s="187">
        <v>19</v>
      </c>
      <c r="AR3" s="187">
        <v>24</v>
      </c>
      <c r="AS3" s="187">
        <v>28</v>
      </c>
      <c r="AT3" s="187">
        <v>24</v>
      </c>
      <c r="AU3" s="187">
        <v>19</v>
      </c>
      <c r="AV3" s="187">
        <v>12</v>
      </c>
      <c r="AW3" s="187">
        <v>2</v>
      </c>
      <c r="AX3" s="187">
        <v>0</v>
      </c>
      <c r="AY3" s="188">
        <v>0</v>
      </c>
    </row>
    <row r="4" spans="1:51" ht="12.75">
      <c r="A4" s="183"/>
      <c r="B4" s="368"/>
      <c r="C4" s="189" t="s">
        <v>381</v>
      </c>
      <c r="D4" s="190">
        <v>0</v>
      </c>
      <c r="E4" s="190">
        <v>0</v>
      </c>
      <c r="F4" s="190">
        <v>10.344827586206897</v>
      </c>
      <c r="G4" s="190">
        <v>18.965517241379313</v>
      </c>
      <c r="H4" s="190">
        <v>24.13793103448276</v>
      </c>
      <c r="I4" s="190">
        <v>26.724137931034484</v>
      </c>
      <c r="J4" s="190">
        <v>29.31034482758621</v>
      </c>
      <c r="K4" s="190">
        <v>26.724137931034484</v>
      </c>
      <c r="L4" s="190">
        <v>24.13793103448276</v>
      </c>
      <c r="M4" s="190">
        <v>18.965517241379313</v>
      </c>
      <c r="N4" s="190">
        <v>10.344827586206897</v>
      </c>
      <c r="O4" s="190">
        <v>0</v>
      </c>
      <c r="P4" s="191">
        <v>0</v>
      </c>
      <c r="Q4" s="183"/>
      <c r="R4" s="368"/>
      <c r="S4" s="189" t="s">
        <v>49</v>
      </c>
      <c r="T4" s="190">
        <f aca="true" t="shared" si="12" ref="T4:T67">+AM4/1.16</f>
        <v>0</v>
      </c>
      <c r="U4" s="190">
        <f t="shared" si="0"/>
        <v>0</v>
      </c>
      <c r="V4" s="190">
        <f t="shared" si="1"/>
        <v>12.931034482758621</v>
      </c>
      <c r="W4" s="190">
        <f t="shared" si="2"/>
        <v>10.344827586206897</v>
      </c>
      <c r="X4" s="190">
        <f t="shared" si="3"/>
        <v>16.379310344827587</v>
      </c>
      <c r="Y4" s="190">
        <f t="shared" si="4"/>
        <v>20.689655172413794</v>
      </c>
      <c r="Z4" s="190">
        <f t="shared" si="5"/>
        <v>24.13793103448276</v>
      </c>
      <c r="AA4" s="190">
        <f t="shared" si="6"/>
        <v>20.689655172413794</v>
      </c>
      <c r="AB4" s="190">
        <f t="shared" si="7"/>
        <v>16.379310344827587</v>
      </c>
      <c r="AC4" s="190">
        <f t="shared" si="8"/>
        <v>10.344827586206897</v>
      </c>
      <c r="AD4" s="190">
        <f t="shared" si="9"/>
        <v>1.7241379310344829</v>
      </c>
      <c r="AE4" s="190">
        <f t="shared" si="10"/>
        <v>0</v>
      </c>
      <c r="AF4" s="191">
        <f t="shared" si="11"/>
        <v>0</v>
      </c>
      <c r="AK4" s="368"/>
      <c r="AL4" s="189" t="s">
        <v>49</v>
      </c>
      <c r="AM4" s="11">
        <v>0</v>
      </c>
      <c r="AN4" s="11">
        <v>0</v>
      </c>
      <c r="AO4" s="11">
        <v>15</v>
      </c>
      <c r="AP4" s="11">
        <v>12</v>
      </c>
      <c r="AQ4" s="11">
        <v>19</v>
      </c>
      <c r="AR4" s="11">
        <v>24</v>
      </c>
      <c r="AS4" s="11">
        <v>28</v>
      </c>
      <c r="AT4" s="11">
        <v>24</v>
      </c>
      <c r="AU4" s="11">
        <v>19</v>
      </c>
      <c r="AV4" s="11">
        <v>12</v>
      </c>
      <c r="AW4" s="11">
        <v>2</v>
      </c>
      <c r="AX4" s="11">
        <v>0</v>
      </c>
      <c r="AY4" s="192">
        <v>0</v>
      </c>
    </row>
    <row r="5" spans="1:51" ht="12.75">
      <c r="A5" s="183"/>
      <c r="B5" s="368"/>
      <c r="C5" s="189" t="s">
        <v>379</v>
      </c>
      <c r="D5" s="190">
        <v>0</v>
      </c>
      <c r="E5" s="190">
        <v>12.931034482758621</v>
      </c>
      <c r="F5" s="190">
        <v>24.13793103448276</v>
      </c>
      <c r="G5" s="190">
        <v>31.896551724137932</v>
      </c>
      <c r="H5" s="190">
        <v>35.3448275862069</v>
      </c>
      <c r="I5" s="190">
        <v>35.3448275862069</v>
      </c>
      <c r="J5" s="190">
        <v>37.931034482758626</v>
      </c>
      <c r="K5" s="190">
        <v>35.3448275862069</v>
      </c>
      <c r="L5" s="190">
        <v>35.3448275862069</v>
      </c>
      <c r="M5" s="190">
        <v>31.896551724137932</v>
      </c>
      <c r="N5" s="190">
        <v>24.13793103448276</v>
      </c>
      <c r="O5" s="190">
        <v>12.931034482758621</v>
      </c>
      <c r="P5" s="191">
        <v>0</v>
      </c>
      <c r="Q5" s="183"/>
      <c r="R5" s="368"/>
      <c r="S5" s="189" t="s">
        <v>44</v>
      </c>
      <c r="T5" s="190">
        <f t="shared" si="12"/>
        <v>0</v>
      </c>
      <c r="U5" s="190">
        <f t="shared" si="0"/>
        <v>0</v>
      </c>
      <c r="V5" s="190">
        <f t="shared" si="1"/>
        <v>137.93103448275863</v>
      </c>
      <c r="W5" s="190">
        <f t="shared" si="2"/>
        <v>173.27586206896552</v>
      </c>
      <c r="X5" s="190">
        <f t="shared" si="3"/>
        <v>154.31034482758622</v>
      </c>
      <c r="Y5" s="190">
        <f t="shared" si="4"/>
        <v>75</v>
      </c>
      <c r="Z5" s="190">
        <f t="shared" si="5"/>
        <v>24.13793103448276</v>
      </c>
      <c r="AA5" s="190">
        <f t="shared" si="6"/>
        <v>20.689655172413794</v>
      </c>
      <c r="AB5" s="190">
        <f t="shared" si="7"/>
        <v>16.379310344827587</v>
      </c>
      <c r="AC5" s="190">
        <f t="shared" si="8"/>
        <v>10.344827586206897</v>
      </c>
      <c r="AD5" s="190">
        <f t="shared" si="9"/>
        <v>1.7241379310344829</v>
      </c>
      <c r="AE5" s="190">
        <f t="shared" si="10"/>
        <v>0</v>
      </c>
      <c r="AF5" s="191">
        <f t="shared" si="11"/>
        <v>0</v>
      </c>
      <c r="AK5" s="368"/>
      <c r="AL5" s="189" t="s">
        <v>44</v>
      </c>
      <c r="AM5" s="11">
        <v>0</v>
      </c>
      <c r="AN5" s="11">
        <v>0</v>
      </c>
      <c r="AO5" s="11">
        <v>160</v>
      </c>
      <c r="AP5" s="11">
        <v>201</v>
      </c>
      <c r="AQ5" s="11">
        <v>179</v>
      </c>
      <c r="AR5" s="11">
        <v>87</v>
      </c>
      <c r="AS5" s="11">
        <v>28</v>
      </c>
      <c r="AT5" s="11">
        <v>24</v>
      </c>
      <c r="AU5" s="11">
        <v>19</v>
      </c>
      <c r="AV5" s="11">
        <v>12</v>
      </c>
      <c r="AW5" s="11">
        <v>2</v>
      </c>
      <c r="AX5" s="11">
        <v>0</v>
      </c>
      <c r="AY5" s="192">
        <v>0</v>
      </c>
    </row>
    <row r="6" spans="1:51" ht="12.75">
      <c r="A6" s="183"/>
      <c r="B6" s="368"/>
      <c r="C6" s="189" t="s">
        <v>377</v>
      </c>
      <c r="D6" s="190">
        <v>18.965517241379313</v>
      </c>
      <c r="E6" s="190">
        <v>20.689655172413794</v>
      </c>
      <c r="F6" s="190">
        <v>29.31034482758621</v>
      </c>
      <c r="G6" s="190">
        <v>35.3448275862069</v>
      </c>
      <c r="H6" s="190">
        <v>37.931034482758626</v>
      </c>
      <c r="I6" s="190">
        <v>37.931034482758626</v>
      </c>
      <c r="J6" s="190">
        <v>37.931034482758626</v>
      </c>
      <c r="K6" s="190">
        <v>37.931034482758626</v>
      </c>
      <c r="L6" s="190">
        <v>37.931034482758626</v>
      </c>
      <c r="M6" s="190">
        <v>35.3448275862069</v>
      </c>
      <c r="N6" s="190">
        <v>29.31034482758621</v>
      </c>
      <c r="O6" s="190">
        <v>20.689655172413794</v>
      </c>
      <c r="P6" s="191">
        <v>18.965517241379313</v>
      </c>
      <c r="Q6" s="183"/>
      <c r="R6" s="368"/>
      <c r="S6" s="189" t="s">
        <v>52</v>
      </c>
      <c r="T6" s="190">
        <f t="shared" si="12"/>
        <v>0</v>
      </c>
      <c r="U6" s="190">
        <f t="shared" si="0"/>
        <v>0</v>
      </c>
      <c r="V6" s="190">
        <f t="shared" si="1"/>
        <v>168.1034482758621</v>
      </c>
      <c r="W6" s="190">
        <f t="shared" si="2"/>
        <v>256.89655172413796</v>
      </c>
      <c r="X6" s="190">
        <f t="shared" si="3"/>
        <v>343.96551724137936</v>
      </c>
      <c r="Y6" s="190">
        <f t="shared" si="4"/>
        <v>343.96551724137936</v>
      </c>
      <c r="Z6" s="190">
        <f t="shared" si="5"/>
        <v>289.65517241379314</v>
      </c>
      <c r="AA6" s="190">
        <f t="shared" si="6"/>
        <v>181.0344827586207</v>
      </c>
      <c r="AB6" s="190">
        <f t="shared" si="7"/>
        <v>56.896551724137936</v>
      </c>
      <c r="AC6" s="190">
        <f t="shared" si="8"/>
        <v>10.344827586206897</v>
      </c>
      <c r="AD6" s="190">
        <f t="shared" si="9"/>
        <v>1.7241379310344829</v>
      </c>
      <c r="AE6" s="190">
        <f t="shared" si="10"/>
        <v>0</v>
      </c>
      <c r="AF6" s="191">
        <f t="shared" si="11"/>
        <v>0</v>
      </c>
      <c r="AK6" s="368"/>
      <c r="AL6" s="189" t="s">
        <v>52</v>
      </c>
      <c r="AM6" s="11">
        <v>0</v>
      </c>
      <c r="AN6" s="11">
        <v>0</v>
      </c>
      <c r="AO6" s="11">
        <v>195</v>
      </c>
      <c r="AP6" s="11">
        <v>298</v>
      </c>
      <c r="AQ6" s="11">
        <v>399</v>
      </c>
      <c r="AR6" s="11">
        <v>399</v>
      </c>
      <c r="AS6" s="11">
        <v>336</v>
      </c>
      <c r="AT6" s="11">
        <v>210</v>
      </c>
      <c r="AU6" s="11">
        <v>66</v>
      </c>
      <c r="AV6" s="11">
        <v>12</v>
      </c>
      <c r="AW6" s="11">
        <v>2</v>
      </c>
      <c r="AX6" s="11">
        <v>0</v>
      </c>
      <c r="AY6" s="192">
        <v>0</v>
      </c>
    </row>
    <row r="7" spans="1:51" ht="12.75">
      <c r="A7" s="183"/>
      <c r="B7" s="368"/>
      <c r="C7" s="189" t="s">
        <v>376</v>
      </c>
      <c r="D7" s="190">
        <v>64.65517241379311</v>
      </c>
      <c r="E7" s="190">
        <v>37.931034482758626</v>
      </c>
      <c r="F7" s="190">
        <v>31.896551724137932</v>
      </c>
      <c r="G7" s="190">
        <v>35.3448275862069</v>
      </c>
      <c r="H7" s="190">
        <v>37.931034482758626</v>
      </c>
      <c r="I7" s="190">
        <v>37.931034482758626</v>
      </c>
      <c r="J7" s="190">
        <v>37.931034482758626</v>
      </c>
      <c r="K7" s="190">
        <v>37.931034482758626</v>
      </c>
      <c r="L7" s="190">
        <v>37.931034482758626</v>
      </c>
      <c r="M7" s="190">
        <v>35.3448275862069</v>
      </c>
      <c r="N7" s="190">
        <v>31.896551724137932</v>
      </c>
      <c r="O7" s="190">
        <v>37.931034482758626</v>
      </c>
      <c r="P7" s="191">
        <v>64.65517241379311</v>
      </c>
      <c r="Q7" s="183"/>
      <c r="R7" s="368"/>
      <c r="S7" s="189" t="s">
        <v>46</v>
      </c>
      <c r="T7" s="190">
        <f t="shared" si="12"/>
        <v>0</v>
      </c>
      <c r="U7" s="190">
        <f t="shared" si="0"/>
        <v>0</v>
      </c>
      <c r="V7" s="190">
        <f t="shared" si="1"/>
        <v>92.24137931034484</v>
      </c>
      <c r="W7" s="190">
        <f t="shared" si="2"/>
        <v>188.79310344827587</v>
      </c>
      <c r="X7" s="190">
        <f t="shared" si="3"/>
        <v>313.7931034482759</v>
      </c>
      <c r="Y7" s="190">
        <f t="shared" si="4"/>
        <v>387.0689655172414</v>
      </c>
      <c r="Z7" s="190">
        <f t="shared" si="5"/>
        <v>413.7931034482759</v>
      </c>
      <c r="AA7" s="190">
        <f t="shared" si="6"/>
        <v>387.0689655172414</v>
      </c>
      <c r="AB7" s="190">
        <f t="shared" si="7"/>
        <v>313.7931034482759</v>
      </c>
      <c r="AC7" s="190">
        <f t="shared" si="8"/>
        <v>188.79310344827587</v>
      </c>
      <c r="AD7" s="190">
        <f t="shared" si="9"/>
        <v>92.24137931034484</v>
      </c>
      <c r="AE7" s="190">
        <f t="shared" si="10"/>
        <v>0</v>
      </c>
      <c r="AF7" s="191">
        <f t="shared" si="11"/>
        <v>0</v>
      </c>
      <c r="AK7" s="368"/>
      <c r="AL7" s="189" t="s">
        <v>52</v>
      </c>
      <c r="AM7" s="11">
        <v>0</v>
      </c>
      <c r="AN7" s="11">
        <v>0</v>
      </c>
      <c r="AO7" s="11">
        <v>107</v>
      </c>
      <c r="AP7" s="11">
        <v>219</v>
      </c>
      <c r="AQ7" s="11">
        <v>364</v>
      </c>
      <c r="AR7" s="11">
        <v>449</v>
      </c>
      <c r="AS7" s="11">
        <v>480</v>
      </c>
      <c r="AT7" s="11">
        <v>449</v>
      </c>
      <c r="AU7" s="11">
        <v>364</v>
      </c>
      <c r="AV7" s="11">
        <v>219</v>
      </c>
      <c r="AW7" s="11">
        <v>107</v>
      </c>
      <c r="AX7" s="11">
        <v>0</v>
      </c>
      <c r="AY7" s="192">
        <v>0</v>
      </c>
    </row>
    <row r="8" spans="1:51" ht="12.75">
      <c r="A8" s="183"/>
      <c r="B8" s="368"/>
      <c r="C8" s="189" t="s">
        <v>54</v>
      </c>
      <c r="D8" s="190">
        <v>87.06896551724138</v>
      </c>
      <c r="E8" s="190">
        <v>54.31034482758621</v>
      </c>
      <c r="F8" s="190">
        <v>31.896551724137932</v>
      </c>
      <c r="G8" s="190">
        <v>35.3448275862069</v>
      </c>
      <c r="H8" s="190">
        <v>37.931034482758626</v>
      </c>
      <c r="I8" s="190">
        <v>37.931034482758626</v>
      </c>
      <c r="J8" s="190">
        <v>37.931034482758626</v>
      </c>
      <c r="K8" s="190">
        <v>37.931034482758626</v>
      </c>
      <c r="L8" s="190">
        <v>37.931034482758626</v>
      </c>
      <c r="M8" s="190">
        <v>35.3448275862069</v>
      </c>
      <c r="N8" s="190">
        <v>31.896551724137932</v>
      </c>
      <c r="O8" s="190">
        <v>54.31034482758621</v>
      </c>
      <c r="P8" s="191">
        <v>86.20689655172414</v>
      </c>
      <c r="Q8" s="183"/>
      <c r="R8" s="368"/>
      <c r="S8" s="189" t="s">
        <v>50</v>
      </c>
      <c r="T8" s="190">
        <f t="shared" si="12"/>
        <v>0</v>
      </c>
      <c r="U8" s="190">
        <f t="shared" si="0"/>
        <v>0</v>
      </c>
      <c r="V8" s="190">
        <f t="shared" si="1"/>
        <v>1.7241379310344829</v>
      </c>
      <c r="W8" s="190">
        <f t="shared" si="2"/>
        <v>10.344827586206897</v>
      </c>
      <c r="X8" s="190">
        <f t="shared" si="3"/>
        <v>56.896551724137936</v>
      </c>
      <c r="Y8" s="190">
        <f t="shared" si="4"/>
        <v>181.0344827586207</v>
      </c>
      <c r="Z8" s="190">
        <f t="shared" si="5"/>
        <v>289.65517241379314</v>
      </c>
      <c r="AA8" s="190">
        <f t="shared" si="6"/>
        <v>343.96551724137936</v>
      </c>
      <c r="AB8" s="190">
        <f t="shared" si="7"/>
        <v>343.96551724137936</v>
      </c>
      <c r="AC8" s="190">
        <f t="shared" si="8"/>
        <v>256.89655172413796</v>
      </c>
      <c r="AD8" s="190">
        <f t="shared" si="9"/>
        <v>168.1034482758621</v>
      </c>
      <c r="AE8" s="190">
        <f t="shared" si="10"/>
        <v>0</v>
      </c>
      <c r="AF8" s="191">
        <f t="shared" si="11"/>
        <v>0</v>
      </c>
      <c r="AK8" s="368"/>
      <c r="AL8" s="189" t="s">
        <v>50</v>
      </c>
      <c r="AM8" s="11">
        <v>0</v>
      </c>
      <c r="AN8" s="11">
        <v>0</v>
      </c>
      <c r="AO8" s="11">
        <v>2</v>
      </c>
      <c r="AP8" s="11">
        <v>12</v>
      </c>
      <c r="AQ8" s="11">
        <v>66</v>
      </c>
      <c r="AR8" s="11">
        <v>210</v>
      </c>
      <c r="AS8" s="11">
        <v>336</v>
      </c>
      <c r="AT8" s="11">
        <v>399</v>
      </c>
      <c r="AU8" s="11">
        <v>399</v>
      </c>
      <c r="AV8" s="11">
        <v>298</v>
      </c>
      <c r="AW8" s="11">
        <v>195</v>
      </c>
      <c r="AX8" s="11">
        <v>0</v>
      </c>
      <c r="AY8" s="192">
        <v>0</v>
      </c>
    </row>
    <row r="9" spans="1:51" ht="12.75">
      <c r="A9" s="183"/>
      <c r="B9" s="368"/>
      <c r="C9" s="189" t="s">
        <v>374</v>
      </c>
      <c r="D9" s="190">
        <v>64.65517241379311</v>
      </c>
      <c r="E9" s="190">
        <v>37.931034482758626</v>
      </c>
      <c r="F9" s="190">
        <v>31.896551724137932</v>
      </c>
      <c r="G9" s="190">
        <v>35.3448275862069</v>
      </c>
      <c r="H9" s="190">
        <v>37.931034482758626</v>
      </c>
      <c r="I9" s="190">
        <v>37.931034482758626</v>
      </c>
      <c r="J9" s="190">
        <v>37.931034482758626</v>
      </c>
      <c r="K9" s="190">
        <v>37.931034482758626</v>
      </c>
      <c r="L9" s="190">
        <v>37.931034482758626</v>
      </c>
      <c r="M9" s="190">
        <v>35.3448275862069</v>
      </c>
      <c r="N9" s="190">
        <v>31.896551724137932</v>
      </c>
      <c r="O9" s="190">
        <v>37.931034482758626</v>
      </c>
      <c r="P9" s="191">
        <v>64.65517241379311</v>
      </c>
      <c r="Q9" s="183"/>
      <c r="R9" s="368"/>
      <c r="S9" s="189" t="s">
        <v>45</v>
      </c>
      <c r="T9" s="190">
        <f t="shared" si="12"/>
        <v>0</v>
      </c>
      <c r="U9" s="190">
        <f t="shared" si="0"/>
        <v>0</v>
      </c>
      <c r="V9" s="190">
        <f t="shared" si="1"/>
        <v>1.7241379310344829</v>
      </c>
      <c r="W9" s="190">
        <f t="shared" si="2"/>
        <v>10.344827586206897</v>
      </c>
      <c r="X9" s="190">
        <f t="shared" si="3"/>
        <v>16.379310344827587</v>
      </c>
      <c r="Y9" s="190">
        <f t="shared" si="4"/>
        <v>20.689655172413794</v>
      </c>
      <c r="Z9" s="190">
        <f t="shared" si="5"/>
        <v>24.13793103448276</v>
      </c>
      <c r="AA9" s="190">
        <f t="shared" si="6"/>
        <v>75</v>
      </c>
      <c r="AB9" s="190">
        <f t="shared" si="7"/>
        <v>154.31034482758622</v>
      </c>
      <c r="AC9" s="190">
        <f t="shared" si="8"/>
        <v>173.27586206896552</v>
      </c>
      <c r="AD9" s="190">
        <f t="shared" si="9"/>
        <v>137.93103448275863</v>
      </c>
      <c r="AE9" s="190">
        <f t="shared" si="10"/>
        <v>0</v>
      </c>
      <c r="AF9" s="191">
        <f t="shared" si="11"/>
        <v>0</v>
      </c>
      <c r="AK9" s="368"/>
      <c r="AL9" s="189" t="s">
        <v>45</v>
      </c>
      <c r="AM9" s="11">
        <v>0</v>
      </c>
      <c r="AN9" s="11">
        <v>0</v>
      </c>
      <c r="AO9" s="11">
        <v>2</v>
      </c>
      <c r="AP9" s="11">
        <v>12</v>
      </c>
      <c r="AQ9" s="11">
        <v>19</v>
      </c>
      <c r="AR9" s="11">
        <v>24</v>
      </c>
      <c r="AS9" s="11">
        <v>28</v>
      </c>
      <c r="AT9" s="11">
        <v>87</v>
      </c>
      <c r="AU9" s="11">
        <v>179</v>
      </c>
      <c r="AV9" s="11">
        <v>201</v>
      </c>
      <c r="AW9" s="11">
        <v>160</v>
      </c>
      <c r="AX9" s="11">
        <v>0</v>
      </c>
      <c r="AY9" s="192">
        <v>0</v>
      </c>
    </row>
    <row r="10" spans="1:51" ht="12.75">
      <c r="A10" s="183"/>
      <c r="B10" s="368"/>
      <c r="C10" s="189" t="s">
        <v>375</v>
      </c>
      <c r="D10" s="190">
        <v>18.965517241379313</v>
      </c>
      <c r="E10" s="190">
        <v>20.689655172413794</v>
      </c>
      <c r="F10" s="190">
        <v>29.31034482758621</v>
      </c>
      <c r="G10" s="190">
        <v>35.3448275862069</v>
      </c>
      <c r="H10" s="190">
        <v>37.931034482758626</v>
      </c>
      <c r="I10" s="190">
        <v>37.931034482758626</v>
      </c>
      <c r="J10" s="190">
        <v>37.931034482758626</v>
      </c>
      <c r="K10" s="190">
        <v>37.931034482758626</v>
      </c>
      <c r="L10" s="190">
        <v>37.931034482758626</v>
      </c>
      <c r="M10" s="190">
        <v>35.3448275862069</v>
      </c>
      <c r="N10" s="190">
        <v>29.31034482758621</v>
      </c>
      <c r="O10" s="190">
        <v>20.689655172413794</v>
      </c>
      <c r="P10" s="191">
        <v>18.965517241379313</v>
      </c>
      <c r="Q10" s="183"/>
      <c r="R10" s="368"/>
      <c r="S10" s="189" t="s">
        <v>51</v>
      </c>
      <c r="T10" s="190">
        <f t="shared" si="12"/>
        <v>0</v>
      </c>
      <c r="U10" s="190">
        <f t="shared" si="0"/>
        <v>0</v>
      </c>
      <c r="V10" s="190">
        <f t="shared" si="1"/>
        <v>1.7241379310344829</v>
      </c>
      <c r="W10" s="190">
        <f t="shared" si="2"/>
        <v>10.344827586206897</v>
      </c>
      <c r="X10" s="190">
        <f t="shared" si="3"/>
        <v>16.379310344827587</v>
      </c>
      <c r="Y10" s="190">
        <f t="shared" si="4"/>
        <v>20.689655172413794</v>
      </c>
      <c r="Z10" s="190">
        <f t="shared" si="5"/>
        <v>24.13793103448276</v>
      </c>
      <c r="AA10" s="190">
        <f t="shared" si="6"/>
        <v>20.689655172413794</v>
      </c>
      <c r="AB10" s="190">
        <f t="shared" si="7"/>
        <v>16.379310344827587</v>
      </c>
      <c r="AC10" s="190">
        <f t="shared" si="8"/>
        <v>10.344827586206897</v>
      </c>
      <c r="AD10" s="190">
        <f t="shared" si="9"/>
        <v>12.931034482758621</v>
      </c>
      <c r="AE10" s="190">
        <f t="shared" si="10"/>
        <v>0</v>
      </c>
      <c r="AF10" s="191">
        <f t="shared" si="11"/>
        <v>0</v>
      </c>
      <c r="AK10" s="368"/>
      <c r="AL10" s="189" t="s">
        <v>51</v>
      </c>
      <c r="AM10" s="11">
        <v>0</v>
      </c>
      <c r="AN10" s="11">
        <v>0</v>
      </c>
      <c r="AO10" s="11">
        <v>2</v>
      </c>
      <c r="AP10" s="11">
        <v>12</v>
      </c>
      <c r="AQ10" s="11">
        <v>19</v>
      </c>
      <c r="AR10" s="11">
        <v>24</v>
      </c>
      <c r="AS10" s="11">
        <v>28</v>
      </c>
      <c r="AT10" s="11">
        <v>24</v>
      </c>
      <c r="AU10" s="11">
        <v>19</v>
      </c>
      <c r="AV10" s="11">
        <v>12</v>
      </c>
      <c r="AW10" s="11">
        <v>15</v>
      </c>
      <c r="AX10" s="11">
        <v>0</v>
      </c>
      <c r="AY10" s="192">
        <v>0</v>
      </c>
    </row>
    <row r="11" spans="1:51" ht="13.5" thickBot="1">
      <c r="A11" s="183"/>
      <c r="B11" s="368"/>
      <c r="C11" s="189" t="s">
        <v>378</v>
      </c>
      <c r="D11" s="190">
        <v>0</v>
      </c>
      <c r="E11" s="190">
        <v>12.931034482758621</v>
      </c>
      <c r="F11" s="190">
        <v>24.13793103448276</v>
      </c>
      <c r="G11" s="190">
        <v>31.896551724137932</v>
      </c>
      <c r="H11" s="190">
        <v>35.3448275862069</v>
      </c>
      <c r="I11" s="190">
        <v>35.3448275862069</v>
      </c>
      <c r="J11" s="190">
        <v>37.931034482758626</v>
      </c>
      <c r="K11" s="190">
        <v>35.3448275862069</v>
      </c>
      <c r="L11" s="190">
        <v>35.3448275862069</v>
      </c>
      <c r="M11" s="190">
        <v>31.896551724137932</v>
      </c>
      <c r="N11" s="190">
        <v>24.13793103448276</v>
      </c>
      <c r="O11" s="190">
        <v>12.931034482758621</v>
      </c>
      <c r="P11" s="191">
        <v>0</v>
      </c>
      <c r="Q11" s="183"/>
      <c r="R11" s="369"/>
      <c r="S11" s="193" t="s">
        <v>53</v>
      </c>
      <c r="T11" s="194">
        <f t="shared" si="12"/>
        <v>0</v>
      </c>
      <c r="U11" s="194">
        <f t="shared" si="0"/>
        <v>0</v>
      </c>
      <c r="V11" s="194">
        <f t="shared" si="1"/>
        <v>10.344827586206897</v>
      </c>
      <c r="W11" s="194">
        <f t="shared" si="2"/>
        <v>35.3448275862069</v>
      </c>
      <c r="X11" s="194">
        <f t="shared" si="3"/>
        <v>81.0344827586207</v>
      </c>
      <c r="Y11" s="194">
        <f t="shared" si="4"/>
        <v>126.72413793103449</v>
      </c>
      <c r="Z11" s="194">
        <f t="shared" si="5"/>
        <v>143.1034482758621</v>
      </c>
      <c r="AA11" s="194">
        <f t="shared" si="6"/>
        <v>126.72413793103449</v>
      </c>
      <c r="AB11" s="194">
        <f t="shared" si="7"/>
        <v>81.0344827586207</v>
      </c>
      <c r="AC11" s="194">
        <f t="shared" si="8"/>
        <v>35.3448275862069</v>
      </c>
      <c r="AD11" s="194">
        <f t="shared" si="9"/>
        <v>10.344827586206897</v>
      </c>
      <c r="AE11" s="194">
        <f t="shared" si="10"/>
        <v>0</v>
      </c>
      <c r="AF11" s="195">
        <f t="shared" si="11"/>
        <v>0</v>
      </c>
      <c r="AK11" s="369"/>
      <c r="AL11" s="193" t="s">
        <v>53</v>
      </c>
      <c r="AM11" s="196">
        <v>0</v>
      </c>
      <c r="AN11" s="196">
        <v>0</v>
      </c>
      <c r="AO11" s="196">
        <v>12</v>
      </c>
      <c r="AP11" s="196">
        <v>41</v>
      </c>
      <c r="AQ11" s="196">
        <v>94</v>
      </c>
      <c r="AR11" s="196">
        <v>147</v>
      </c>
      <c r="AS11" s="196">
        <v>166</v>
      </c>
      <c r="AT11" s="196">
        <v>147</v>
      </c>
      <c r="AU11" s="196">
        <v>94</v>
      </c>
      <c r="AV11" s="196">
        <v>41</v>
      </c>
      <c r="AW11" s="196">
        <v>12</v>
      </c>
      <c r="AX11" s="196">
        <v>0</v>
      </c>
      <c r="AY11" s="197">
        <v>0</v>
      </c>
    </row>
    <row r="12" spans="1:51" ht="12.75" customHeight="1">
      <c r="A12" s="183"/>
      <c r="B12" s="368"/>
      <c r="C12" s="189" t="s">
        <v>380</v>
      </c>
      <c r="D12" s="190">
        <v>0</v>
      </c>
      <c r="E12" s="190">
        <v>0</v>
      </c>
      <c r="F12" s="190">
        <v>10.344827586206897</v>
      </c>
      <c r="G12" s="190">
        <v>18.965517241379313</v>
      </c>
      <c r="H12" s="190">
        <v>24.13793103448276</v>
      </c>
      <c r="I12" s="190">
        <v>26.724137931034484</v>
      </c>
      <c r="J12" s="190">
        <v>29.31034482758621</v>
      </c>
      <c r="K12" s="190">
        <v>26.724137931034484</v>
      </c>
      <c r="L12" s="190">
        <v>24.13793103448276</v>
      </c>
      <c r="M12" s="190">
        <v>18.965517241379313</v>
      </c>
      <c r="N12" s="190">
        <v>10.344827586206897</v>
      </c>
      <c r="O12" s="190">
        <v>0</v>
      </c>
      <c r="P12" s="191">
        <v>0</v>
      </c>
      <c r="Q12" s="183"/>
      <c r="R12" s="367" t="s">
        <v>381</v>
      </c>
      <c r="S12" s="184" t="s">
        <v>43</v>
      </c>
      <c r="T12" s="185">
        <f t="shared" si="12"/>
        <v>0</v>
      </c>
      <c r="U12" s="185">
        <f t="shared" si="0"/>
        <v>0</v>
      </c>
      <c r="V12" s="185">
        <f t="shared" si="1"/>
        <v>10.344827586206897</v>
      </c>
      <c r="W12" s="185">
        <f t="shared" si="2"/>
        <v>18.965517241379313</v>
      </c>
      <c r="X12" s="185">
        <f t="shared" si="3"/>
        <v>24.13793103448276</v>
      </c>
      <c r="Y12" s="185">
        <f t="shared" si="4"/>
        <v>26.724137931034484</v>
      </c>
      <c r="Z12" s="185">
        <f t="shared" si="5"/>
        <v>29.31034482758621</v>
      </c>
      <c r="AA12" s="185">
        <f t="shared" si="6"/>
        <v>26.724137931034484</v>
      </c>
      <c r="AB12" s="185">
        <f t="shared" si="7"/>
        <v>24.13793103448276</v>
      </c>
      <c r="AC12" s="185">
        <f t="shared" si="8"/>
        <v>18.965517241379313</v>
      </c>
      <c r="AD12" s="185">
        <f t="shared" si="9"/>
        <v>10.344827586206897</v>
      </c>
      <c r="AE12" s="185">
        <f t="shared" si="10"/>
        <v>0</v>
      </c>
      <c r="AF12" s="186">
        <f t="shared" si="11"/>
        <v>0</v>
      </c>
      <c r="AK12" s="367" t="s">
        <v>381</v>
      </c>
      <c r="AL12" s="184" t="s">
        <v>43</v>
      </c>
      <c r="AM12" s="187">
        <v>0</v>
      </c>
      <c r="AN12" s="187">
        <v>0</v>
      </c>
      <c r="AO12" s="187">
        <v>12</v>
      </c>
      <c r="AP12" s="187">
        <v>22</v>
      </c>
      <c r="AQ12" s="187">
        <v>28</v>
      </c>
      <c r="AR12" s="187">
        <v>31</v>
      </c>
      <c r="AS12" s="187">
        <v>34</v>
      </c>
      <c r="AT12" s="187">
        <v>31</v>
      </c>
      <c r="AU12" s="187">
        <v>28</v>
      </c>
      <c r="AV12" s="187">
        <v>22</v>
      </c>
      <c r="AW12" s="187">
        <v>12</v>
      </c>
      <c r="AX12" s="187">
        <v>0</v>
      </c>
      <c r="AY12" s="188">
        <v>0</v>
      </c>
    </row>
    <row r="13" spans="1:51" ht="12.75">
      <c r="A13" s="183"/>
      <c r="B13" s="368"/>
      <c r="C13" s="189" t="s">
        <v>382</v>
      </c>
      <c r="D13" s="190">
        <v>0</v>
      </c>
      <c r="E13" s="190">
        <v>0</v>
      </c>
      <c r="F13" s="190">
        <v>1.7241379310344829</v>
      </c>
      <c r="G13" s="190">
        <v>10.344827586206897</v>
      </c>
      <c r="H13" s="190">
        <v>16.379310344827587</v>
      </c>
      <c r="I13" s="190">
        <v>20.689655172413794</v>
      </c>
      <c r="J13" s="190">
        <v>24.13793103448276</v>
      </c>
      <c r="K13" s="190">
        <v>20.689655172413794</v>
      </c>
      <c r="L13" s="190">
        <v>16.379310344827587</v>
      </c>
      <c r="M13" s="190">
        <v>10.344827586206897</v>
      </c>
      <c r="N13" s="190">
        <v>1.7241379310344829</v>
      </c>
      <c r="O13" s="190">
        <v>0</v>
      </c>
      <c r="P13" s="191">
        <v>0</v>
      </c>
      <c r="Q13" s="183"/>
      <c r="R13" s="368"/>
      <c r="S13" s="189" t="s">
        <v>49</v>
      </c>
      <c r="T13" s="190">
        <f t="shared" si="12"/>
        <v>0</v>
      </c>
      <c r="U13" s="190">
        <f t="shared" si="0"/>
        <v>77.58620689655173</v>
      </c>
      <c r="V13" s="190">
        <f t="shared" si="1"/>
        <v>54.31034482758621</v>
      </c>
      <c r="W13" s="190">
        <f t="shared" si="2"/>
        <v>18.965517241379313</v>
      </c>
      <c r="X13" s="190">
        <f t="shared" si="3"/>
        <v>24.13793103448276</v>
      </c>
      <c r="Y13" s="190">
        <f t="shared" si="4"/>
        <v>26.724137931034484</v>
      </c>
      <c r="Z13" s="190">
        <f t="shared" si="5"/>
        <v>29.31034482758621</v>
      </c>
      <c r="AA13" s="190">
        <f t="shared" si="6"/>
        <v>26.724137931034484</v>
      </c>
      <c r="AB13" s="190">
        <f t="shared" si="7"/>
        <v>24.13793103448276</v>
      </c>
      <c r="AC13" s="190">
        <f t="shared" si="8"/>
        <v>18.965517241379313</v>
      </c>
      <c r="AD13" s="190">
        <f t="shared" si="9"/>
        <v>10.344827586206897</v>
      </c>
      <c r="AE13" s="190">
        <f t="shared" si="10"/>
        <v>0</v>
      </c>
      <c r="AF13" s="191">
        <f t="shared" si="11"/>
        <v>0</v>
      </c>
      <c r="AK13" s="368"/>
      <c r="AL13" s="189" t="s">
        <v>49</v>
      </c>
      <c r="AM13" s="11">
        <v>0</v>
      </c>
      <c r="AN13" s="11">
        <v>90</v>
      </c>
      <c r="AO13" s="11">
        <v>63</v>
      </c>
      <c r="AP13" s="11">
        <v>22</v>
      </c>
      <c r="AQ13" s="11">
        <v>28</v>
      </c>
      <c r="AR13" s="11">
        <v>31</v>
      </c>
      <c r="AS13" s="11">
        <v>34</v>
      </c>
      <c r="AT13" s="11">
        <v>31</v>
      </c>
      <c r="AU13" s="11">
        <v>28</v>
      </c>
      <c r="AV13" s="11">
        <v>22</v>
      </c>
      <c r="AW13" s="11">
        <v>12</v>
      </c>
      <c r="AX13" s="11">
        <v>0</v>
      </c>
      <c r="AY13" s="192">
        <v>0</v>
      </c>
    </row>
    <row r="14" spans="1:51" ht="13.5" thickBot="1">
      <c r="A14" s="183"/>
      <c r="B14" s="369"/>
      <c r="C14" s="193" t="s">
        <v>383</v>
      </c>
      <c r="D14" s="194">
        <v>0</v>
      </c>
      <c r="E14" s="194">
        <v>0</v>
      </c>
      <c r="F14" s="194">
        <v>0</v>
      </c>
      <c r="G14" s="194">
        <v>7.758620689655173</v>
      </c>
      <c r="H14" s="194">
        <v>12.931034482758621</v>
      </c>
      <c r="I14" s="194">
        <v>16.379310344827587</v>
      </c>
      <c r="J14" s="194">
        <v>18.965517241379313</v>
      </c>
      <c r="K14" s="194">
        <v>16.379310344827587</v>
      </c>
      <c r="L14" s="194">
        <v>12.931034482758621</v>
      </c>
      <c r="M14" s="194">
        <v>7.758620689655173</v>
      </c>
      <c r="N14" s="194">
        <v>0</v>
      </c>
      <c r="O14" s="194">
        <v>0</v>
      </c>
      <c r="P14" s="195">
        <v>0</v>
      </c>
      <c r="Q14" s="183"/>
      <c r="R14" s="368"/>
      <c r="S14" s="189" t="s">
        <v>44</v>
      </c>
      <c r="T14" s="190">
        <f t="shared" si="12"/>
        <v>0</v>
      </c>
      <c r="U14" s="190">
        <f t="shared" si="0"/>
        <v>198.27586206896552</v>
      </c>
      <c r="V14" s="190">
        <f t="shared" si="1"/>
        <v>268.1034482758621</v>
      </c>
      <c r="W14" s="190">
        <f t="shared" si="2"/>
        <v>283.62068965517244</v>
      </c>
      <c r="X14" s="190">
        <f t="shared" si="3"/>
        <v>213.79310344827587</v>
      </c>
      <c r="Y14" s="190">
        <f t="shared" si="4"/>
        <v>93.96551724137932</v>
      </c>
      <c r="Z14" s="190">
        <f t="shared" si="5"/>
        <v>29.31034482758621</v>
      </c>
      <c r="AA14" s="190">
        <f t="shared" si="6"/>
        <v>26.724137931034484</v>
      </c>
      <c r="AB14" s="190">
        <f t="shared" si="7"/>
        <v>24.13793103448276</v>
      </c>
      <c r="AC14" s="190">
        <f t="shared" si="8"/>
        <v>18.965517241379313</v>
      </c>
      <c r="AD14" s="190">
        <f t="shared" si="9"/>
        <v>10.344827586206897</v>
      </c>
      <c r="AE14" s="190">
        <f t="shared" si="10"/>
        <v>0</v>
      </c>
      <c r="AF14" s="191">
        <f t="shared" si="11"/>
        <v>0</v>
      </c>
      <c r="AK14" s="368"/>
      <c r="AL14" s="189" t="s">
        <v>44</v>
      </c>
      <c r="AM14" s="11">
        <v>0</v>
      </c>
      <c r="AN14" s="11">
        <v>230</v>
      </c>
      <c r="AO14" s="11">
        <v>311</v>
      </c>
      <c r="AP14" s="11">
        <v>329</v>
      </c>
      <c r="AQ14" s="11">
        <v>248</v>
      </c>
      <c r="AR14" s="11">
        <v>109</v>
      </c>
      <c r="AS14" s="11">
        <v>34</v>
      </c>
      <c r="AT14" s="11">
        <v>31</v>
      </c>
      <c r="AU14" s="11">
        <v>28</v>
      </c>
      <c r="AV14" s="11">
        <v>22</v>
      </c>
      <c r="AW14" s="11">
        <v>12</v>
      </c>
      <c r="AX14" s="11">
        <v>0</v>
      </c>
      <c r="AY14" s="192">
        <v>0</v>
      </c>
    </row>
    <row r="15" spans="1:51" ht="12.75">
      <c r="A15" s="183"/>
      <c r="B15" s="367" t="s">
        <v>402</v>
      </c>
      <c r="C15" s="184" t="s">
        <v>384</v>
      </c>
      <c r="D15" s="185">
        <v>0</v>
      </c>
      <c r="E15" s="185">
        <v>0</v>
      </c>
      <c r="F15" s="185">
        <v>12.931034482758621</v>
      </c>
      <c r="G15" s="185">
        <v>10.344827586206897</v>
      </c>
      <c r="H15" s="185">
        <v>16.379310344827587</v>
      </c>
      <c r="I15" s="185">
        <v>20.689655172413794</v>
      </c>
      <c r="J15" s="185">
        <v>24.13793103448276</v>
      </c>
      <c r="K15" s="185">
        <v>20.689655172413794</v>
      </c>
      <c r="L15" s="185">
        <v>16.379310344827587</v>
      </c>
      <c r="M15" s="185">
        <v>10.344827586206897</v>
      </c>
      <c r="N15" s="185">
        <v>1.7241379310344829</v>
      </c>
      <c r="O15" s="185">
        <v>0</v>
      </c>
      <c r="P15" s="186">
        <v>0</v>
      </c>
      <c r="Q15" s="183"/>
      <c r="R15" s="368"/>
      <c r="S15" s="189" t="s">
        <v>52</v>
      </c>
      <c r="T15" s="190">
        <f t="shared" si="12"/>
        <v>0</v>
      </c>
      <c r="U15" s="190">
        <f t="shared" si="0"/>
        <v>187.0689655172414</v>
      </c>
      <c r="V15" s="190">
        <f t="shared" si="1"/>
        <v>300.86206896551727</v>
      </c>
      <c r="W15" s="190">
        <f t="shared" si="2"/>
        <v>393.1034482758621</v>
      </c>
      <c r="X15" s="190">
        <f t="shared" si="3"/>
        <v>425.00000000000006</v>
      </c>
      <c r="Y15" s="190">
        <f t="shared" si="4"/>
        <v>389.65517241379314</v>
      </c>
      <c r="Z15" s="190">
        <f t="shared" si="5"/>
        <v>311.2068965517242</v>
      </c>
      <c r="AA15" s="190">
        <f t="shared" si="6"/>
        <v>187.0689655172414</v>
      </c>
      <c r="AB15" s="190">
        <f t="shared" si="7"/>
        <v>64.65517241379311</v>
      </c>
      <c r="AC15" s="190">
        <f t="shared" si="8"/>
        <v>18.965517241379313</v>
      </c>
      <c r="AD15" s="190">
        <f t="shared" si="9"/>
        <v>10.344827586206897</v>
      </c>
      <c r="AE15" s="190">
        <f t="shared" si="10"/>
        <v>0</v>
      </c>
      <c r="AF15" s="191">
        <f t="shared" si="11"/>
        <v>0</v>
      </c>
      <c r="AK15" s="368"/>
      <c r="AL15" s="189" t="s">
        <v>52</v>
      </c>
      <c r="AM15" s="11">
        <v>0</v>
      </c>
      <c r="AN15" s="11">
        <v>217</v>
      </c>
      <c r="AO15" s="11">
        <v>349</v>
      </c>
      <c r="AP15" s="11">
        <v>456</v>
      </c>
      <c r="AQ15" s="11">
        <v>493</v>
      </c>
      <c r="AR15" s="11">
        <v>452</v>
      </c>
      <c r="AS15" s="11">
        <v>361</v>
      </c>
      <c r="AT15" s="11">
        <v>217</v>
      </c>
      <c r="AU15" s="11">
        <v>75</v>
      </c>
      <c r="AV15" s="11">
        <v>22</v>
      </c>
      <c r="AW15" s="11">
        <v>12</v>
      </c>
      <c r="AX15" s="11">
        <v>0</v>
      </c>
      <c r="AY15" s="192">
        <v>0</v>
      </c>
    </row>
    <row r="16" spans="1:51" ht="12.75">
      <c r="A16" s="183"/>
      <c r="B16" s="368"/>
      <c r="C16" s="189" t="s">
        <v>381</v>
      </c>
      <c r="D16" s="190">
        <v>0</v>
      </c>
      <c r="E16" s="190">
        <v>77.58620689655173</v>
      </c>
      <c r="F16" s="190">
        <v>54.31034482758621</v>
      </c>
      <c r="G16" s="190">
        <v>18.965517241379313</v>
      </c>
      <c r="H16" s="190">
        <v>24.13793103448276</v>
      </c>
      <c r="I16" s="190">
        <v>26.724137931034484</v>
      </c>
      <c r="J16" s="190">
        <v>29.31034482758621</v>
      </c>
      <c r="K16" s="190">
        <v>26.724137931034484</v>
      </c>
      <c r="L16" s="190">
        <v>24.13793103448276</v>
      </c>
      <c r="M16" s="190">
        <v>18.965517241379313</v>
      </c>
      <c r="N16" s="190">
        <v>10.344827586206897</v>
      </c>
      <c r="O16" s="190">
        <v>0</v>
      </c>
      <c r="P16" s="191">
        <v>0</v>
      </c>
      <c r="Q16" s="183"/>
      <c r="R16" s="368"/>
      <c r="S16" s="189" t="s">
        <v>46</v>
      </c>
      <c r="T16" s="190">
        <f t="shared" si="12"/>
        <v>0</v>
      </c>
      <c r="U16" s="190">
        <f t="shared" si="0"/>
        <v>45.689655172413794</v>
      </c>
      <c r="V16" s="190">
        <f t="shared" si="1"/>
        <v>143.1034482758621</v>
      </c>
      <c r="W16" s="190">
        <f t="shared" si="2"/>
        <v>268.1034482758621</v>
      </c>
      <c r="X16" s="190">
        <f t="shared" si="3"/>
        <v>370.68965517241384</v>
      </c>
      <c r="Y16" s="190">
        <f t="shared" si="4"/>
        <v>425.00000000000006</v>
      </c>
      <c r="Z16" s="190">
        <f t="shared" si="5"/>
        <v>451.72413793103453</v>
      </c>
      <c r="AA16" s="190">
        <f t="shared" si="6"/>
        <v>425.00000000000006</v>
      </c>
      <c r="AB16" s="190">
        <f t="shared" si="7"/>
        <v>370.68965517241384</v>
      </c>
      <c r="AC16" s="190">
        <f t="shared" si="8"/>
        <v>268.1034482758621</v>
      </c>
      <c r="AD16" s="190">
        <f t="shared" si="9"/>
        <v>143.1034482758621</v>
      </c>
      <c r="AE16" s="190">
        <f t="shared" si="10"/>
        <v>45.689655172413794</v>
      </c>
      <c r="AF16" s="191">
        <f t="shared" si="11"/>
        <v>0</v>
      </c>
      <c r="AK16" s="368"/>
      <c r="AL16" s="189" t="s">
        <v>52</v>
      </c>
      <c r="AM16" s="11">
        <v>0</v>
      </c>
      <c r="AN16" s="11">
        <v>53</v>
      </c>
      <c r="AO16" s="11">
        <v>166</v>
      </c>
      <c r="AP16" s="11">
        <v>311</v>
      </c>
      <c r="AQ16" s="11">
        <v>430</v>
      </c>
      <c r="AR16" s="11">
        <v>493</v>
      </c>
      <c r="AS16" s="11">
        <v>524</v>
      </c>
      <c r="AT16" s="11">
        <v>493</v>
      </c>
      <c r="AU16" s="11">
        <v>430</v>
      </c>
      <c r="AV16" s="11">
        <v>311</v>
      </c>
      <c r="AW16" s="11">
        <v>166</v>
      </c>
      <c r="AX16" s="11">
        <v>53</v>
      </c>
      <c r="AY16" s="192">
        <v>0</v>
      </c>
    </row>
    <row r="17" spans="1:51" ht="12.75">
      <c r="A17" s="183"/>
      <c r="B17" s="368"/>
      <c r="C17" s="189" t="s">
        <v>379</v>
      </c>
      <c r="D17" s="190">
        <v>0</v>
      </c>
      <c r="E17" s="190">
        <v>137.93103448275863</v>
      </c>
      <c r="F17" s="190">
        <v>156.89655172413794</v>
      </c>
      <c r="G17" s="190">
        <v>69.82758620689656</v>
      </c>
      <c r="H17" s="190">
        <v>35.3448275862069</v>
      </c>
      <c r="I17" s="190">
        <v>35.3448275862069</v>
      </c>
      <c r="J17" s="190">
        <v>37.931034482758626</v>
      </c>
      <c r="K17" s="190">
        <v>35.3448275862069</v>
      </c>
      <c r="L17" s="190">
        <v>35.3448275862069</v>
      </c>
      <c r="M17" s="190">
        <v>31.896551724137932</v>
      </c>
      <c r="N17" s="190">
        <v>24.13793103448276</v>
      </c>
      <c r="O17" s="190">
        <v>12.931034482758621</v>
      </c>
      <c r="P17" s="191">
        <v>0</v>
      </c>
      <c r="Q17" s="183"/>
      <c r="R17" s="368"/>
      <c r="S17" s="189" t="s">
        <v>50</v>
      </c>
      <c r="T17" s="190">
        <f t="shared" si="12"/>
        <v>0</v>
      </c>
      <c r="U17" s="190">
        <f t="shared" si="0"/>
        <v>0</v>
      </c>
      <c r="V17" s="190">
        <f t="shared" si="1"/>
        <v>10.344827586206897</v>
      </c>
      <c r="W17" s="190">
        <f t="shared" si="2"/>
        <v>18.965517241379313</v>
      </c>
      <c r="X17" s="190">
        <f t="shared" si="3"/>
        <v>64.65517241379311</v>
      </c>
      <c r="Y17" s="190">
        <f t="shared" si="4"/>
        <v>187.0689655172414</v>
      </c>
      <c r="Z17" s="190">
        <f t="shared" si="5"/>
        <v>311.2068965517242</v>
      </c>
      <c r="AA17" s="190">
        <f t="shared" si="6"/>
        <v>389.65517241379314</v>
      </c>
      <c r="AB17" s="190">
        <f t="shared" si="7"/>
        <v>425.00000000000006</v>
      </c>
      <c r="AC17" s="190">
        <f t="shared" si="8"/>
        <v>393.1034482758621</v>
      </c>
      <c r="AD17" s="190">
        <f t="shared" si="9"/>
        <v>300.86206896551727</v>
      </c>
      <c r="AE17" s="190">
        <f t="shared" si="10"/>
        <v>187.0689655172414</v>
      </c>
      <c r="AF17" s="191">
        <f t="shared" si="11"/>
        <v>0</v>
      </c>
      <c r="AK17" s="368"/>
      <c r="AL17" s="189" t="s">
        <v>50</v>
      </c>
      <c r="AM17" s="11">
        <v>0</v>
      </c>
      <c r="AN17" s="11">
        <v>0</v>
      </c>
      <c r="AO17" s="11">
        <v>12</v>
      </c>
      <c r="AP17" s="11">
        <v>22</v>
      </c>
      <c r="AQ17" s="11">
        <v>75</v>
      </c>
      <c r="AR17" s="11">
        <v>217</v>
      </c>
      <c r="AS17" s="11">
        <v>361</v>
      </c>
      <c r="AT17" s="11">
        <v>452</v>
      </c>
      <c r="AU17" s="11">
        <v>493</v>
      </c>
      <c r="AV17" s="11">
        <v>456</v>
      </c>
      <c r="AW17" s="11">
        <v>349</v>
      </c>
      <c r="AX17" s="11">
        <v>217</v>
      </c>
      <c r="AY17" s="192">
        <v>0</v>
      </c>
    </row>
    <row r="18" spans="1:51" ht="12.75">
      <c r="A18" s="183"/>
      <c r="B18" s="368"/>
      <c r="C18" s="189" t="s">
        <v>377</v>
      </c>
      <c r="D18" s="190">
        <v>183.6206896551724</v>
      </c>
      <c r="E18" s="190">
        <v>275.86206896551727</v>
      </c>
      <c r="F18" s="190">
        <v>222.41379310344828</v>
      </c>
      <c r="G18" s="190">
        <v>124.13793103448276</v>
      </c>
      <c r="H18" s="190">
        <v>43.10344827586207</v>
      </c>
      <c r="I18" s="190">
        <v>37.931034482758626</v>
      </c>
      <c r="J18" s="190">
        <v>37.931034482758626</v>
      </c>
      <c r="K18" s="190">
        <v>37.931034482758626</v>
      </c>
      <c r="L18" s="190">
        <v>37.931034482758626</v>
      </c>
      <c r="M18" s="190">
        <v>35.3448275862069</v>
      </c>
      <c r="N18" s="190">
        <v>29.31034482758621</v>
      </c>
      <c r="O18" s="190">
        <v>20.689655172413794</v>
      </c>
      <c r="P18" s="191">
        <v>7.758620689655173</v>
      </c>
      <c r="Q18" s="183"/>
      <c r="R18" s="368"/>
      <c r="S18" s="189" t="s">
        <v>45</v>
      </c>
      <c r="T18" s="190">
        <f t="shared" si="12"/>
        <v>0</v>
      </c>
      <c r="U18" s="190">
        <f t="shared" si="0"/>
        <v>0</v>
      </c>
      <c r="V18" s="190">
        <f t="shared" si="1"/>
        <v>10.344827586206897</v>
      </c>
      <c r="W18" s="190">
        <f t="shared" si="2"/>
        <v>18.965517241379313</v>
      </c>
      <c r="X18" s="190">
        <f t="shared" si="3"/>
        <v>24.13793103448276</v>
      </c>
      <c r="Y18" s="190">
        <f t="shared" si="4"/>
        <v>26.724137931034484</v>
      </c>
      <c r="Z18" s="190">
        <f t="shared" si="5"/>
        <v>29.31034482758621</v>
      </c>
      <c r="AA18" s="190">
        <f t="shared" si="6"/>
        <v>93.96551724137932</v>
      </c>
      <c r="AB18" s="190">
        <f t="shared" si="7"/>
        <v>213.79310344827587</v>
      </c>
      <c r="AC18" s="190">
        <f t="shared" si="8"/>
        <v>283.62068965517244</v>
      </c>
      <c r="AD18" s="190">
        <f t="shared" si="9"/>
        <v>268.1034482758621</v>
      </c>
      <c r="AE18" s="190">
        <f t="shared" si="10"/>
        <v>198.27586206896552</v>
      </c>
      <c r="AF18" s="191">
        <f t="shared" si="11"/>
        <v>0</v>
      </c>
      <c r="AK18" s="368"/>
      <c r="AL18" s="189" t="s">
        <v>45</v>
      </c>
      <c r="AM18" s="11">
        <v>0</v>
      </c>
      <c r="AN18" s="11">
        <v>0</v>
      </c>
      <c r="AO18" s="11">
        <v>12</v>
      </c>
      <c r="AP18" s="11">
        <v>22</v>
      </c>
      <c r="AQ18" s="11">
        <v>28</v>
      </c>
      <c r="AR18" s="11">
        <v>31</v>
      </c>
      <c r="AS18" s="11">
        <v>34</v>
      </c>
      <c r="AT18" s="11">
        <v>109</v>
      </c>
      <c r="AU18" s="11">
        <v>248</v>
      </c>
      <c r="AV18" s="11">
        <v>329</v>
      </c>
      <c r="AW18" s="11">
        <v>311</v>
      </c>
      <c r="AX18" s="11">
        <v>230</v>
      </c>
      <c r="AY18" s="192">
        <v>0</v>
      </c>
    </row>
    <row r="19" spans="1:51" ht="12.75">
      <c r="A19" s="183"/>
      <c r="B19" s="368"/>
      <c r="C19" s="189" t="s">
        <v>376</v>
      </c>
      <c r="D19" s="190">
        <v>287.0689655172414</v>
      </c>
      <c r="E19" s="190">
        <v>343.96551724137936</v>
      </c>
      <c r="F19" s="190">
        <v>283.62068965517244</v>
      </c>
      <c r="G19" s="190">
        <v>179.31034482758622</v>
      </c>
      <c r="H19" s="190">
        <v>69.82758620689656</v>
      </c>
      <c r="I19" s="190">
        <v>37.931034482758626</v>
      </c>
      <c r="J19" s="190">
        <v>37.931034482758626</v>
      </c>
      <c r="K19" s="190">
        <v>37.931034482758626</v>
      </c>
      <c r="L19" s="190">
        <v>37.931034482758626</v>
      </c>
      <c r="M19" s="190">
        <v>35.3448275862069</v>
      </c>
      <c r="N19" s="190">
        <v>31.896551724137932</v>
      </c>
      <c r="O19" s="190">
        <v>26.724137931034484</v>
      </c>
      <c r="P19" s="191">
        <v>12.931034482758621</v>
      </c>
      <c r="Q19" s="183"/>
      <c r="R19" s="368"/>
      <c r="S19" s="189" t="s">
        <v>51</v>
      </c>
      <c r="T19" s="190">
        <f t="shared" si="12"/>
        <v>0</v>
      </c>
      <c r="U19" s="190">
        <f t="shared" si="0"/>
        <v>0</v>
      </c>
      <c r="V19" s="190">
        <f t="shared" si="1"/>
        <v>10.344827586206897</v>
      </c>
      <c r="W19" s="190">
        <f t="shared" si="2"/>
        <v>18.965517241379313</v>
      </c>
      <c r="X19" s="190">
        <f t="shared" si="3"/>
        <v>24.13793103448276</v>
      </c>
      <c r="Y19" s="190">
        <f t="shared" si="4"/>
        <v>26.724137931034484</v>
      </c>
      <c r="Z19" s="190">
        <f t="shared" si="5"/>
        <v>29.31034482758621</v>
      </c>
      <c r="AA19" s="190">
        <f t="shared" si="6"/>
        <v>26.724137931034484</v>
      </c>
      <c r="AB19" s="190">
        <f t="shared" si="7"/>
        <v>24.13793103448276</v>
      </c>
      <c r="AC19" s="190">
        <f t="shared" si="8"/>
        <v>18.965517241379313</v>
      </c>
      <c r="AD19" s="190">
        <f t="shared" si="9"/>
        <v>54.31034482758621</v>
      </c>
      <c r="AE19" s="190">
        <f t="shared" si="10"/>
        <v>77.58620689655173</v>
      </c>
      <c r="AF19" s="191">
        <f t="shared" si="11"/>
        <v>0</v>
      </c>
      <c r="AK19" s="368"/>
      <c r="AL19" s="189" t="s">
        <v>51</v>
      </c>
      <c r="AM19" s="11">
        <v>0</v>
      </c>
      <c r="AN19" s="11">
        <v>0</v>
      </c>
      <c r="AO19" s="11">
        <v>12</v>
      </c>
      <c r="AP19" s="11">
        <v>22</v>
      </c>
      <c r="AQ19" s="11">
        <v>28</v>
      </c>
      <c r="AR19" s="11">
        <v>31</v>
      </c>
      <c r="AS19" s="11">
        <v>34</v>
      </c>
      <c r="AT19" s="11">
        <v>31</v>
      </c>
      <c r="AU19" s="11">
        <v>28</v>
      </c>
      <c r="AV19" s="11">
        <v>22</v>
      </c>
      <c r="AW19" s="11">
        <v>63</v>
      </c>
      <c r="AX19" s="11">
        <v>90</v>
      </c>
      <c r="AY19" s="192">
        <v>0</v>
      </c>
    </row>
    <row r="20" spans="1:51" ht="13.5" thickBot="1">
      <c r="A20" s="183"/>
      <c r="B20" s="368"/>
      <c r="C20" s="189" t="s">
        <v>54</v>
      </c>
      <c r="D20" s="190">
        <v>319.82758620689657</v>
      </c>
      <c r="E20" s="190">
        <v>360.3448275862069</v>
      </c>
      <c r="F20" s="190">
        <v>302.58620689655174</v>
      </c>
      <c r="G20" s="190">
        <v>198.27586206896552</v>
      </c>
      <c r="H20" s="190">
        <v>81.0344827586207</v>
      </c>
      <c r="I20" s="190">
        <v>37.931034482758626</v>
      </c>
      <c r="J20" s="190">
        <v>37.931034482758626</v>
      </c>
      <c r="K20" s="190">
        <v>37.931034482758626</v>
      </c>
      <c r="L20" s="190">
        <v>37.931034482758626</v>
      </c>
      <c r="M20" s="190">
        <v>35.3448275862069</v>
      </c>
      <c r="N20" s="190">
        <v>31.896551724137932</v>
      </c>
      <c r="O20" s="190">
        <v>26.724137931034484</v>
      </c>
      <c r="P20" s="191">
        <v>16.379310344827587</v>
      </c>
      <c r="Q20" s="183"/>
      <c r="R20" s="369"/>
      <c r="S20" s="193" t="s">
        <v>53</v>
      </c>
      <c r="T20" s="194">
        <f t="shared" si="12"/>
        <v>0</v>
      </c>
      <c r="U20" s="194">
        <f t="shared" si="0"/>
        <v>5.172413793103448</v>
      </c>
      <c r="V20" s="194">
        <f t="shared" si="1"/>
        <v>50.862068965517246</v>
      </c>
      <c r="W20" s="194">
        <f t="shared" si="2"/>
        <v>122.41379310344828</v>
      </c>
      <c r="X20" s="194">
        <f t="shared" si="3"/>
        <v>194.82758620689657</v>
      </c>
      <c r="Y20" s="194">
        <f t="shared" si="4"/>
        <v>232.75862068965517</v>
      </c>
      <c r="Z20" s="194">
        <f t="shared" si="5"/>
        <v>254.31034482758622</v>
      </c>
      <c r="AA20" s="194">
        <f t="shared" si="6"/>
        <v>232.75862068965517</v>
      </c>
      <c r="AB20" s="194">
        <f t="shared" si="7"/>
        <v>194.82758620689657</v>
      </c>
      <c r="AC20" s="194">
        <f t="shared" si="8"/>
        <v>122.41379310344828</v>
      </c>
      <c r="AD20" s="194">
        <f t="shared" si="9"/>
        <v>50.862068965517246</v>
      </c>
      <c r="AE20" s="194">
        <f t="shared" si="10"/>
        <v>5.172413793103448</v>
      </c>
      <c r="AF20" s="195">
        <f t="shared" si="11"/>
        <v>0</v>
      </c>
      <c r="AK20" s="369"/>
      <c r="AL20" s="193" t="s">
        <v>53</v>
      </c>
      <c r="AM20" s="196">
        <v>0</v>
      </c>
      <c r="AN20" s="196">
        <v>6</v>
      </c>
      <c r="AO20" s="196">
        <v>59</v>
      </c>
      <c r="AP20" s="196">
        <v>142</v>
      </c>
      <c r="AQ20" s="196">
        <v>226</v>
      </c>
      <c r="AR20" s="196">
        <v>270</v>
      </c>
      <c r="AS20" s="196">
        <v>295</v>
      </c>
      <c r="AT20" s="196">
        <v>270</v>
      </c>
      <c r="AU20" s="196">
        <v>226</v>
      </c>
      <c r="AV20" s="196">
        <v>142</v>
      </c>
      <c r="AW20" s="196">
        <v>59</v>
      </c>
      <c r="AX20" s="196">
        <v>6</v>
      </c>
      <c r="AY20" s="197">
        <v>0</v>
      </c>
    </row>
    <row r="21" spans="1:51" ht="12.75" customHeight="1">
      <c r="A21" s="183"/>
      <c r="B21" s="368"/>
      <c r="C21" s="189" t="s">
        <v>374</v>
      </c>
      <c r="D21" s="190">
        <v>287.0689655172414</v>
      </c>
      <c r="E21" s="190">
        <v>343.96551724137936</v>
      </c>
      <c r="F21" s="190">
        <v>283.62068965517244</v>
      </c>
      <c r="G21" s="190">
        <v>179.31034482758622</v>
      </c>
      <c r="H21" s="190">
        <v>69.82758620689656</v>
      </c>
      <c r="I21" s="190">
        <v>37.931034482758626</v>
      </c>
      <c r="J21" s="190">
        <v>37.931034482758626</v>
      </c>
      <c r="K21" s="190">
        <v>37.931034482758626</v>
      </c>
      <c r="L21" s="190">
        <v>37.931034482758626</v>
      </c>
      <c r="M21" s="190">
        <v>35.3448275862069</v>
      </c>
      <c r="N21" s="190">
        <v>31.896551724137932</v>
      </c>
      <c r="O21" s="190">
        <v>26.724137931034484</v>
      </c>
      <c r="P21" s="191">
        <v>12.931034482758621</v>
      </c>
      <c r="Q21" s="183"/>
      <c r="R21" s="367" t="s">
        <v>379</v>
      </c>
      <c r="S21" s="184" t="s">
        <v>43</v>
      </c>
      <c r="T21" s="185">
        <f t="shared" si="12"/>
        <v>0</v>
      </c>
      <c r="U21" s="185">
        <f t="shared" si="0"/>
        <v>12.931034482758621</v>
      </c>
      <c r="V21" s="185">
        <f t="shared" si="1"/>
        <v>24.13793103448276</v>
      </c>
      <c r="W21" s="185">
        <f t="shared" si="2"/>
        <v>31.896551724137932</v>
      </c>
      <c r="X21" s="185">
        <f t="shared" si="3"/>
        <v>35.3448275862069</v>
      </c>
      <c r="Y21" s="185">
        <f t="shared" si="4"/>
        <v>35.3448275862069</v>
      </c>
      <c r="Z21" s="185">
        <f t="shared" si="5"/>
        <v>37.931034482758626</v>
      </c>
      <c r="AA21" s="185">
        <f t="shared" si="6"/>
        <v>35.3448275862069</v>
      </c>
      <c r="AB21" s="185">
        <f t="shared" si="7"/>
        <v>35.3448275862069</v>
      </c>
      <c r="AC21" s="185">
        <f t="shared" si="8"/>
        <v>31.896551724137932</v>
      </c>
      <c r="AD21" s="185">
        <f t="shared" si="9"/>
        <v>24.13793103448276</v>
      </c>
      <c r="AE21" s="185">
        <f t="shared" si="10"/>
        <v>12.931034482758621</v>
      </c>
      <c r="AF21" s="186">
        <f t="shared" si="11"/>
        <v>0</v>
      </c>
      <c r="AK21" s="367" t="s">
        <v>379</v>
      </c>
      <c r="AL21" s="184" t="s">
        <v>43</v>
      </c>
      <c r="AM21" s="187">
        <v>0</v>
      </c>
      <c r="AN21" s="187">
        <v>15</v>
      </c>
      <c r="AO21" s="187">
        <v>28</v>
      </c>
      <c r="AP21" s="187">
        <v>37</v>
      </c>
      <c r="AQ21" s="187">
        <v>41</v>
      </c>
      <c r="AR21" s="187">
        <v>41</v>
      </c>
      <c r="AS21" s="187">
        <v>44</v>
      </c>
      <c r="AT21" s="187">
        <v>41</v>
      </c>
      <c r="AU21" s="187">
        <v>41</v>
      </c>
      <c r="AV21" s="187">
        <v>37</v>
      </c>
      <c r="AW21" s="187">
        <v>28</v>
      </c>
      <c r="AX21" s="187">
        <v>15</v>
      </c>
      <c r="AY21" s="188">
        <v>0</v>
      </c>
    </row>
    <row r="22" spans="1:51" ht="12.75">
      <c r="A22" s="183"/>
      <c r="B22" s="368"/>
      <c r="C22" s="189" t="s">
        <v>375</v>
      </c>
      <c r="D22" s="190">
        <v>183.6206896551724</v>
      </c>
      <c r="E22" s="190">
        <v>275.86206896551727</v>
      </c>
      <c r="F22" s="190">
        <v>222.41379310344828</v>
      </c>
      <c r="G22" s="190">
        <v>124.13793103448276</v>
      </c>
      <c r="H22" s="190">
        <v>43.10344827586207</v>
      </c>
      <c r="I22" s="190">
        <v>37.931034482758626</v>
      </c>
      <c r="J22" s="190">
        <v>37.931034482758626</v>
      </c>
      <c r="K22" s="190">
        <v>37.931034482758626</v>
      </c>
      <c r="L22" s="190">
        <v>37.931034482758626</v>
      </c>
      <c r="M22" s="190">
        <v>35.3448275862069</v>
      </c>
      <c r="N22" s="190">
        <v>29.31034482758621</v>
      </c>
      <c r="O22" s="190">
        <v>20.689655172413794</v>
      </c>
      <c r="P22" s="191">
        <v>7.758620689655173</v>
      </c>
      <c r="Q22" s="183"/>
      <c r="R22" s="368"/>
      <c r="S22" s="189" t="s">
        <v>49</v>
      </c>
      <c r="T22" s="190">
        <f t="shared" si="12"/>
        <v>0</v>
      </c>
      <c r="U22" s="190">
        <f t="shared" si="0"/>
        <v>137.93103448275863</v>
      </c>
      <c r="V22" s="190">
        <f t="shared" si="1"/>
        <v>156.89655172413794</v>
      </c>
      <c r="W22" s="190">
        <f t="shared" si="2"/>
        <v>69.82758620689656</v>
      </c>
      <c r="X22" s="190">
        <f t="shared" si="3"/>
        <v>35.3448275862069</v>
      </c>
      <c r="Y22" s="190">
        <f t="shared" si="4"/>
        <v>35.3448275862069</v>
      </c>
      <c r="Z22" s="190">
        <f t="shared" si="5"/>
        <v>37.931034482758626</v>
      </c>
      <c r="AA22" s="190">
        <f t="shared" si="6"/>
        <v>35.3448275862069</v>
      </c>
      <c r="AB22" s="190">
        <f t="shared" si="7"/>
        <v>35.3448275862069</v>
      </c>
      <c r="AC22" s="190">
        <f t="shared" si="8"/>
        <v>31.896551724137932</v>
      </c>
      <c r="AD22" s="190">
        <f t="shared" si="9"/>
        <v>24.13793103448276</v>
      </c>
      <c r="AE22" s="190">
        <f t="shared" si="10"/>
        <v>12.931034482758621</v>
      </c>
      <c r="AF22" s="191">
        <f t="shared" si="11"/>
        <v>0</v>
      </c>
      <c r="AK22" s="368"/>
      <c r="AL22" s="189" t="s">
        <v>49</v>
      </c>
      <c r="AM22" s="11">
        <v>0</v>
      </c>
      <c r="AN22" s="11">
        <v>160</v>
      </c>
      <c r="AO22" s="11">
        <v>182</v>
      </c>
      <c r="AP22" s="11">
        <v>81</v>
      </c>
      <c r="AQ22" s="11">
        <v>41</v>
      </c>
      <c r="AR22" s="11">
        <v>41</v>
      </c>
      <c r="AS22" s="11">
        <v>44</v>
      </c>
      <c r="AT22" s="11">
        <v>41</v>
      </c>
      <c r="AU22" s="11">
        <v>41</v>
      </c>
      <c r="AV22" s="11">
        <v>37</v>
      </c>
      <c r="AW22" s="11">
        <v>28</v>
      </c>
      <c r="AX22" s="11">
        <v>15</v>
      </c>
      <c r="AY22" s="192">
        <v>0</v>
      </c>
    </row>
    <row r="23" spans="1:51" ht="12.75">
      <c r="A23" s="183"/>
      <c r="B23" s="368"/>
      <c r="C23" s="189" t="s">
        <v>378</v>
      </c>
      <c r="D23" s="190">
        <v>0</v>
      </c>
      <c r="E23" s="190">
        <v>137.93103448275863</v>
      </c>
      <c r="F23" s="190">
        <v>156.89655172413794</v>
      </c>
      <c r="G23" s="190">
        <v>69.82758620689656</v>
      </c>
      <c r="H23" s="190">
        <v>35.3448275862069</v>
      </c>
      <c r="I23" s="190">
        <v>35.3448275862069</v>
      </c>
      <c r="J23" s="190">
        <v>37.931034482758626</v>
      </c>
      <c r="K23" s="190">
        <v>35.3448275862069</v>
      </c>
      <c r="L23" s="190">
        <v>35.3448275862069</v>
      </c>
      <c r="M23" s="190">
        <v>31.896551724137932</v>
      </c>
      <c r="N23" s="190">
        <v>24.13793103448276</v>
      </c>
      <c r="O23" s="190">
        <v>12.931034482758621</v>
      </c>
      <c r="P23" s="191">
        <v>0</v>
      </c>
      <c r="Q23" s="183"/>
      <c r="R23" s="368"/>
      <c r="S23" s="189" t="s">
        <v>44</v>
      </c>
      <c r="T23" s="190">
        <f t="shared" si="12"/>
        <v>0</v>
      </c>
      <c r="U23" s="190">
        <f t="shared" si="0"/>
        <v>313.7931034482759</v>
      </c>
      <c r="V23" s="190">
        <f t="shared" si="1"/>
        <v>404.3103448275862</v>
      </c>
      <c r="W23" s="190">
        <f t="shared" si="2"/>
        <v>376.72413793103453</v>
      </c>
      <c r="X23" s="190">
        <f t="shared" si="3"/>
        <v>268.1034482758621</v>
      </c>
      <c r="Y23" s="190">
        <f t="shared" si="4"/>
        <v>122.41379310344828</v>
      </c>
      <c r="Z23" s="190">
        <f t="shared" si="5"/>
        <v>37.931034482758626</v>
      </c>
      <c r="AA23" s="190">
        <f t="shared" si="6"/>
        <v>35.3448275862069</v>
      </c>
      <c r="AB23" s="190">
        <f t="shared" si="7"/>
        <v>35.3448275862069</v>
      </c>
      <c r="AC23" s="190">
        <f t="shared" si="8"/>
        <v>31.896551724137932</v>
      </c>
      <c r="AD23" s="190">
        <f t="shared" si="9"/>
        <v>24.13793103448276</v>
      </c>
      <c r="AE23" s="190">
        <f t="shared" si="10"/>
        <v>12.931034482758621</v>
      </c>
      <c r="AF23" s="191">
        <f t="shared" si="11"/>
        <v>0</v>
      </c>
      <c r="AK23" s="368"/>
      <c r="AL23" s="189" t="s">
        <v>44</v>
      </c>
      <c r="AM23" s="11">
        <v>0</v>
      </c>
      <c r="AN23" s="11">
        <v>364</v>
      </c>
      <c r="AO23" s="11">
        <v>469</v>
      </c>
      <c r="AP23" s="11">
        <v>437</v>
      </c>
      <c r="AQ23" s="11">
        <v>311</v>
      </c>
      <c r="AR23" s="11">
        <v>142</v>
      </c>
      <c r="AS23" s="11">
        <v>44</v>
      </c>
      <c r="AT23" s="11">
        <v>41</v>
      </c>
      <c r="AU23" s="11">
        <v>41</v>
      </c>
      <c r="AV23" s="11">
        <v>37</v>
      </c>
      <c r="AW23" s="11">
        <v>28</v>
      </c>
      <c r="AX23" s="11">
        <v>15</v>
      </c>
      <c r="AY23" s="192">
        <v>0</v>
      </c>
    </row>
    <row r="24" spans="1:51" ht="12.75">
      <c r="A24" s="183"/>
      <c r="B24" s="368"/>
      <c r="C24" s="189" t="s">
        <v>380</v>
      </c>
      <c r="D24" s="190">
        <v>0</v>
      </c>
      <c r="E24" s="190">
        <v>77.58620689655173</v>
      </c>
      <c r="F24" s="190">
        <v>54.31034482758621</v>
      </c>
      <c r="G24" s="190">
        <v>18.965517241379313</v>
      </c>
      <c r="H24" s="190">
        <v>24.13793103448276</v>
      </c>
      <c r="I24" s="190">
        <v>26.724137931034484</v>
      </c>
      <c r="J24" s="190">
        <v>29.31034482758621</v>
      </c>
      <c r="K24" s="190">
        <v>26.724137931034484</v>
      </c>
      <c r="L24" s="190">
        <v>24.13793103448276</v>
      </c>
      <c r="M24" s="190">
        <v>18.965517241379313</v>
      </c>
      <c r="N24" s="190">
        <v>10.344827586206897</v>
      </c>
      <c r="O24" s="190">
        <v>0</v>
      </c>
      <c r="P24" s="191">
        <v>0</v>
      </c>
      <c r="Q24" s="183"/>
      <c r="R24" s="368"/>
      <c r="S24" s="189" t="s">
        <v>52</v>
      </c>
      <c r="T24" s="190">
        <f t="shared" si="12"/>
        <v>0</v>
      </c>
      <c r="U24" s="190">
        <f t="shared" si="0"/>
        <v>256.89655172413796</v>
      </c>
      <c r="V24" s="190">
        <f t="shared" si="1"/>
        <v>389.65517241379314</v>
      </c>
      <c r="W24" s="190">
        <f t="shared" si="2"/>
        <v>438.7931034482759</v>
      </c>
      <c r="X24" s="190">
        <f t="shared" si="3"/>
        <v>425.00000000000006</v>
      </c>
      <c r="Y24" s="190">
        <f t="shared" si="4"/>
        <v>360.3448275862069</v>
      </c>
      <c r="Z24" s="190">
        <f t="shared" si="5"/>
        <v>243.96551724137933</v>
      </c>
      <c r="AA24" s="190">
        <f t="shared" si="6"/>
        <v>111.20689655172414</v>
      </c>
      <c r="AB24" s="190">
        <f t="shared" si="7"/>
        <v>37.931034482758626</v>
      </c>
      <c r="AC24" s="190">
        <f t="shared" si="8"/>
        <v>31.896551724137932</v>
      </c>
      <c r="AD24" s="190">
        <f t="shared" si="9"/>
        <v>24.13793103448276</v>
      </c>
      <c r="AE24" s="190">
        <f t="shared" si="10"/>
        <v>12.931034482758621</v>
      </c>
      <c r="AF24" s="191">
        <f t="shared" si="11"/>
        <v>0</v>
      </c>
      <c r="AK24" s="368"/>
      <c r="AL24" s="189" t="s">
        <v>52</v>
      </c>
      <c r="AM24" s="11">
        <v>0</v>
      </c>
      <c r="AN24" s="11">
        <v>298</v>
      </c>
      <c r="AO24" s="11">
        <v>452</v>
      </c>
      <c r="AP24" s="11">
        <v>509</v>
      </c>
      <c r="AQ24" s="11">
        <v>493</v>
      </c>
      <c r="AR24" s="11">
        <v>418</v>
      </c>
      <c r="AS24" s="11">
        <v>283</v>
      </c>
      <c r="AT24" s="11">
        <v>129</v>
      </c>
      <c r="AU24" s="11">
        <v>44</v>
      </c>
      <c r="AV24" s="11">
        <v>37</v>
      </c>
      <c r="AW24" s="11">
        <v>28</v>
      </c>
      <c r="AX24" s="11">
        <v>15</v>
      </c>
      <c r="AY24" s="192">
        <v>0</v>
      </c>
    </row>
    <row r="25" spans="1:51" ht="12.75">
      <c r="A25" s="183"/>
      <c r="B25" s="368"/>
      <c r="C25" s="189" t="s">
        <v>382</v>
      </c>
      <c r="D25" s="190">
        <v>0</v>
      </c>
      <c r="E25" s="190">
        <v>0</v>
      </c>
      <c r="F25" s="190">
        <v>12.931034482758621</v>
      </c>
      <c r="G25" s="190">
        <v>10.344827586206897</v>
      </c>
      <c r="H25" s="190">
        <v>16.379310344827587</v>
      </c>
      <c r="I25" s="190">
        <v>20.689655172413794</v>
      </c>
      <c r="J25" s="190">
        <v>24.13793103448276</v>
      </c>
      <c r="K25" s="190">
        <v>20.689655172413794</v>
      </c>
      <c r="L25" s="190">
        <v>16.379310344827587</v>
      </c>
      <c r="M25" s="190">
        <v>10.344827586206897</v>
      </c>
      <c r="N25" s="190">
        <v>1.7241379310344829</v>
      </c>
      <c r="O25" s="190">
        <v>0</v>
      </c>
      <c r="P25" s="191">
        <v>0</v>
      </c>
      <c r="Q25" s="183"/>
      <c r="R25" s="368"/>
      <c r="S25" s="189" t="s">
        <v>46</v>
      </c>
      <c r="T25" s="190">
        <f t="shared" si="12"/>
        <v>0</v>
      </c>
      <c r="U25" s="190">
        <f t="shared" si="0"/>
        <v>31.896551724137932</v>
      </c>
      <c r="V25" s="190">
        <f t="shared" si="1"/>
        <v>118.96551724137932</v>
      </c>
      <c r="W25" s="190">
        <f t="shared" si="2"/>
        <v>218.96551724137933</v>
      </c>
      <c r="X25" s="190">
        <f t="shared" si="3"/>
        <v>298.2758620689655</v>
      </c>
      <c r="Y25" s="190">
        <f t="shared" si="4"/>
        <v>330.1724137931035</v>
      </c>
      <c r="Z25" s="190">
        <f t="shared" si="5"/>
        <v>379.3103448275862</v>
      </c>
      <c r="AA25" s="190">
        <f t="shared" si="6"/>
        <v>330.1724137931035</v>
      </c>
      <c r="AB25" s="190">
        <f t="shared" si="7"/>
        <v>298.2758620689655</v>
      </c>
      <c r="AC25" s="190">
        <f t="shared" si="8"/>
        <v>218.96551724137933</v>
      </c>
      <c r="AD25" s="190">
        <f t="shared" si="9"/>
        <v>118.96551724137932</v>
      </c>
      <c r="AE25" s="190">
        <f t="shared" si="10"/>
        <v>31.896551724137932</v>
      </c>
      <c r="AF25" s="191">
        <f t="shared" si="11"/>
        <v>0</v>
      </c>
      <c r="AK25" s="368"/>
      <c r="AL25" s="189" t="s">
        <v>52</v>
      </c>
      <c r="AM25" s="11">
        <v>0</v>
      </c>
      <c r="AN25" s="11">
        <v>37</v>
      </c>
      <c r="AO25" s="11">
        <v>138</v>
      </c>
      <c r="AP25" s="11">
        <v>254</v>
      </c>
      <c r="AQ25" s="11">
        <v>346</v>
      </c>
      <c r="AR25" s="11">
        <v>383</v>
      </c>
      <c r="AS25" s="11">
        <v>440</v>
      </c>
      <c r="AT25" s="11">
        <v>383</v>
      </c>
      <c r="AU25" s="11">
        <v>346</v>
      </c>
      <c r="AV25" s="11">
        <v>254</v>
      </c>
      <c r="AW25" s="11">
        <v>138</v>
      </c>
      <c r="AX25" s="11">
        <v>37</v>
      </c>
      <c r="AY25" s="192">
        <v>0</v>
      </c>
    </row>
    <row r="26" spans="1:51" ht="13.5" thickBot="1">
      <c r="A26" s="183"/>
      <c r="B26" s="369"/>
      <c r="C26" s="193" t="s">
        <v>383</v>
      </c>
      <c r="D26" s="194">
        <v>0</v>
      </c>
      <c r="E26" s="194">
        <v>0</v>
      </c>
      <c r="F26" s="194">
        <v>0</v>
      </c>
      <c r="G26" s="194">
        <v>7.758620689655173</v>
      </c>
      <c r="H26" s="194">
        <v>12.931034482758621</v>
      </c>
      <c r="I26" s="194">
        <v>16.379310344827587</v>
      </c>
      <c r="J26" s="194">
        <v>18.965517241379313</v>
      </c>
      <c r="K26" s="194">
        <v>16.379310344827587</v>
      </c>
      <c r="L26" s="194">
        <v>12.931034482758621</v>
      </c>
      <c r="M26" s="194">
        <v>7.758620689655173</v>
      </c>
      <c r="N26" s="194">
        <v>0</v>
      </c>
      <c r="O26" s="194">
        <v>0</v>
      </c>
      <c r="P26" s="195">
        <v>0</v>
      </c>
      <c r="Q26" s="183"/>
      <c r="R26" s="368"/>
      <c r="S26" s="189" t="s">
        <v>50</v>
      </c>
      <c r="T26" s="190">
        <f t="shared" si="12"/>
        <v>0</v>
      </c>
      <c r="U26" s="190">
        <f t="shared" si="0"/>
        <v>12.931034482758621</v>
      </c>
      <c r="V26" s="190">
        <f t="shared" si="1"/>
        <v>24.13793103448276</v>
      </c>
      <c r="W26" s="190">
        <f t="shared" si="2"/>
        <v>31.896551724137932</v>
      </c>
      <c r="X26" s="190">
        <f t="shared" si="3"/>
        <v>37.931034482758626</v>
      </c>
      <c r="Y26" s="190">
        <f t="shared" si="4"/>
        <v>111.20689655172414</v>
      </c>
      <c r="Z26" s="190">
        <f t="shared" si="5"/>
        <v>243.96551724137933</v>
      </c>
      <c r="AA26" s="190">
        <f t="shared" si="6"/>
        <v>360.3448275862069</v>
      </c>
      <c r="AB26" s="190">
        <f t="shared" si="7"/>
        <v>425.00000000000006</v>
      </c>
      <c r="AC26" s="190">
        <f t="shared" si="8"/>
        <v>438.7931034482759</v>
      </c>
      <c r="AD26" s="190">
        <f t="shared" si="9"/>
        <v>389.65517241379314</v>
      </c>
      <c r="AE26" s="190">
        <f t="shared" si="10"/>
        <v>256.89655172413796</v>
      </c>
      <c r="AF26" s="191">
        <f t="shared" si="11"/>
        <v>0</v>
      </c>
      <c r="AK26" s="368"/>
      <c r="AL26" s="189" t="s">
        <v>50</v>
      </c>
      <c r="AM26" s="11">
        <v>0</v>
      </c>
      <c r="AN26" s="11">
        <v>15</v>
      </c>
      <c r="AO26" s="11">
        <v>28</v>
      </c>
      <c r="AP26" s="11">
        <v>37</v>
      </c>
      <c r="AQ26" s="11">
        <v>44</v>
      </c>
      <c r="AR26" s="11">
        <v>129</v>
      </c>
      <c r="AS26" s="11">
        <v>283</v>
      </c>
      <c r="AT26" s="11">
        <v>418</v>
      </c>
      <c r="AU26" s="11">
        <v>493</v>
      </c>
      <c r="AV26" s="11">
        <v>509</v>
      </c>
      <c r="AW26" s="11">
        <v>452</v>
      </c>
      <c r="AX26" s="11">
        <v>298</v>
      </c>
      <c r="AY26" s="192">
        <v>0</v>
      </c>
    </row>
    <row r="27" spans="1:51" ht="12.75">
      <c r="A27" s="183"/>
      <c r="B27" s="367" t="s">
        <v>403</v>
      </c>
      <c r="C27" s="184" t="s">
        <v>384</v>
      </c>
      <c r="D27" s="185">
        <v>0</v>
      </c>
      <c r="E27" s="185">
        <v>0</v>
      </c>
      <c r="F27" s="185">
        <v>137.93103448275863</v>
      </c>
      <c r="G27" s="185">
        <v>173.27586206896552</v>
      </c>
      <c r="H27" s="185">
        <v>154.31034482758622</v>
      </c>
      <c r="I27" s="185">
        <v>75</v>
      </c>
      <c r="J27" s="185">
        <v>24.13793103448276</v>
      </c>
      <c r="K27" s="185">
        <v>20.689655172413794</v>
      </c>
      <c r="L27" s="185">
        <v>16.379310344827587</v>
      </c>
      <c r="M27" s="185">
        <v>10.344827586206897</v>
      </c>
      <c r="N27" s="185">
        <v>1.7241379310344829</v>
      </c>
      <c r="O27" s="185">
        <v>0</v>
      </c>
      <c r="P27" s="186">
        <v>0</v>
      </c>
      <c r="Q27" s="183"/>
      <c r="R27" s="368"/>
      <c r="S27" s="189" t="s">
        <v>45</v>
      </c>
      <c r="T27" s="190">
        <f t="shared" si="12"/>
        <v>0</v>
      </c>
      <c r="U27" s="190">
        <f t="shared" si="0"/>
        <v>12.931034482758621</v>
      </c>
      <c r="V27" s="190">
        <f t="shared" si="1"/>
        <v>24.13793103448276</v>
      </c>
      <c r="W27" s="190">
        <f t="shared" si="2"/>
        <v>31.896551724137932</v>
      </c>
      <c r="X27" s="190">
        <f t="shared" si="3"/>
        <v>35.3448275862069</v>
      </c>
      <c r="Y27" s="190">
        <f t="shared" si="4"/>
        <v>35.3448275862069</v>
      </c>
      <c r="Z27" s="190">
        <f t="shared" si="5"/>
        <v>37.931034482758626</v>
      </c>
      <c r="AA27" s="190">
        <f t="shared" si="6"/>
        <v>122.41379310344828</v>
      </c>
      <c r="AB27" s="190">
        <f t="shared" si="7"/>
        <v>268.1034482758621</v>
      </c>
      <c r="AC27" s="190">
        <f t="shared" si="8"/>
        <v>376.72413793103453</v>
      </c>
      <c r="AD27" s="190">
        <f t="shared" si="9"/>
        <v>404.3103448275862</v>
      </c>
      <c r="AE27" s="190">
        <f t="shared" si="10"/>
        <v>313.7931034482759</v>
      </c>
      <c r="AF27" s="191">
        <f t="shared" si="11"/>
        <v>0</v>
      </c>
      <c r="AK27" s="368"/>
      <c r="AL27" s="189" t="s">
        <v>45</v>
      </c>
      <c r="AM27" s="11">
        <v>0</v>
      </c>
      <c r="AN27" s="11">
        <v>15</v>
      </c>
      <c r="AO27" s="11">
        <v>28</v>
      </c>
      <c r="AP27" s="11">
        <v>37</v>
      </c>
      <c r="AQ27" s="11">
        <v>41</v>
      </c>
      <c r="AR27" s="11">
        <v>41</v>
      </c>
      <c r="AS27" s="11">
        <v>44</v>
      </c>
      <c r="AT27" s="11">
        <v>142</v>
      </c>
      <c r="AU27" s="11">
        <v>311</v>
      </c>
      <c r="AV27" s="11">
        <v>437</v>
      </c>
      <c r="AW27" s="11">
        <v>469</v>
      </c>
      <c r="AX27" s="11">
        <v>364</v>
      </c>
      <c r="AY27" s="192">
        <v>0</v>
      </c>
    </row>
    <row r="28" spans="1:51" ht="12.75">
      <c r="A28" s="183"/>
      <c r="B28" s="368"/>
      <c r="C28" s="189" t="s">
        <v>381</v>
      </c>
      <c r="D28" s="190">
        <v>0</v>
      </c>
      <c r="E28" s="190">
        <v>198.27586206896552</v>
      </c>
      <c r="F28" s="190">
        <v>268.1034482758621</v>
      </c>
      <c r="G28" s="190">
        <v>283.62068965517244</v>
      </c>
      <c r="H28" s="190">
        <v>213.79310344827587</v>
      </c>
      <c r="I28" s="190">
        <v>93.96551724137932</v>
      </c>
      <c r="J28" s="190">
        <v>29.31034482758621</v>
      </c>
      <c r="K28" s="190">
        <v>26.724137931034484</v>
      </c>
      <c r="L28" s="190">
        <v>24.13793103448276</v>
      </c>
      <c r="M28" s="190">
        <v>18.965517241379313</v>
      </c>
      <c r="N28" s="190">
        <v>10.344827586206897</v>
      </c>
      <c r="O28" s="190">
        <v>0</v>
      </c>
      <c r="P28" s="191">
        <v>0</v>
      </c>
      <c r="Q28" s="183"/>
      <c r="R28" s="368"/>
      <c r="S28" s="189" t="s">
        <v>51</v>
      </c>
      <c r="T28" s="190">
        <f t="shared" si="12"/>
        <v>0</v>
      </c>
      <c r="U28" s="190">
        <f t="shared" si="0"/>
        <v>12.931034482758621</v>
      </c>
      <c r="V28" s="190">
        <f t="shared" si="1"/>
        <v>24.13793103448276</v>
      </c>
      <c r="W28" s="190">
        <f t="shared" si="2"/>
        <v>31.896551724137932</v>
      </c>
      <c r="X28" s="190">
        <f t="shared" si="3"/>
        <v>35.3448275862069</v>
      </c>
      <c r="Y28" s="190">
        <f t="shared" si="4"/>
        <v>35.3448275862069</v>
      </c>
      <c r="Z28" s="190">
        <f t="shared" si="5"/>
        <v>37.931034482758626</v>
      </c>
      <c r="AA28" s="190">
        <f t="shared" si="6"/>
        <v>35.3448275862069</v>
      </c>
      <c r="AB28" s="190">
        <f t="shared" si="7"/>
        <v>35.3448275862069</v>
      </c>
      <c r="AC28" s="190">
        <f t="shared" si="8"/>
        <v>69.82758620689656</v>
      </c>
      <c r="AD28" s="190">
        <f t="shared" si="9"/>
        <v>156.89655172413794</v>
      </c>
      <c r="AE28" s="190">
        <f t="shared" si="10"/>
        <v>137.93103448275863</v>
      </c>
      <c r="AF28" s="191">
        <f t="shared" si="11"/>
        <v>0</v>
      </c>
      <c r="AK28" s="368"/>
      <c r="AL28" s="189" t="s">
        <v>51</v>
      </c>
      <c r="AM28" s="11">
        <v>0</v>
      </c>
      <c r="AN28" s="11">
        <v>15</v>
      </c>
      <c r="AO28" s="11">
        <v>28</v>
      </c>
      <c r="AP28" s="11">
        <v>37</v>
      </c>
      <c r="AQ28" s="11">
        <v>41</v>
      </c>
      <c r="AR28" s="11">
        <v>41</v>
      </c>
      <c r="AS28" s="11">
        <v>44</v>
      </c>
      <c r="AT28" s="11">
        <v>41</v>
      </c>
      <c r="AU28" s="11">
        <v>41</v>
      </c>
      <c r="AV28" s="11">
        <v>81</v>
      </c>
      <c r="AW28" s="11">
        <v>182</v>
      </c>
      <c r="AX28" s="11">
        <v>160</v>
      </c>
      <c r="AY28" s="192">
        <v>0</v>
      </c>
    </row>
    <row r="29" spans="1:51" ht="13.5" thickBot="1">
      <c r="A29" s="183"/>
      <c r="B29" s="368"/>
      <c r="C29" s="189" t="s">
        <v>379</v>
      </c>
      <c r="D29" s="190">
        <v>0</v>
      </c>
      <c r="E29" s="190">
        <v>313.7931034482759</v>
      </c>
      <c r="F29" s="190">
        <v>404.3103448275862</v>
      </c>
      <c r="G29" s="190">
        <v>376.72413793103453</v>
      </c>
      <c r="H29" s="190">
        <v>268.1034482758621</v>
      </c>
      <c r="I29" s="190">
        <v>122.41379310344828</v>
      </c>
      <c r="J29" s="190">
        <v>37.931034482758626</v>
      </c>
      <c r="K29" s="190">
        <v>35.3448275862069</v>
      </c>
      <c r="L29" s="190">
        <v>35.3448275862069</v>
      </c>
      <c r="M29" s="190">
        <v>31.896551724137932</v>
      </c>
      <c r="N29" s="190">
        <v>24.13793103448276</v>
      </c>
      <c r="O29" s="190">
        <v>12.931034482758621</v>
      </c>
      <c r="P29" s="191">
        <v>0</v>
      </c>
      <c r="Q29" s="183"/>
      <c r="R29" s="369"/>
      <c r="S29" s="193" t="s">
        <v>53</v>
      </c>
      <c r="T29" s="194">
        <f t="shared" si="12"/>
        <v>0</v>
      </c>
      <c r="U29" s="194">
        <f t="shared" si="0"/>
        <v>56.896551724137936</v>
      </c>
      <c r="V29" s="194">
        <f t="shared" si="1"/>
        <v>181.0344827586207</v>
      </c>
      <c r="W29" s="194">
        <f t="shared" si="2"/>
        <v>336.2068965517242</v>
      </c>
      <c r="X29" s="194">
        <f t="shared" si="3"/>
        <v>413.7931034482759</v>
      </c>
      <c r="Y29" s="194">
        <f t="shared" si="4"/>
        <v>476.72413793103453</v>
      </c>
      <c r="Z29" s="194">
        <f t="shared" si="5"/>
        <v>495.68965517241384</v>
      </c>
      <c r="AA29" s="194">
        <f t="shared" si="6"/>
        <v>476.72413793103453</v>
      </c>
      <c r="AB29" s="194">
        <f t="shared" si="7"/>
        <v>413.7931034482759</v>
      </c>
      <c r="AC29" s="194">
        <f t="shared" si="8"/>
        <v>336.2068965517242</v>
      </c>
      <c r="AD29" s="194">
        <f t="shared" si="9"/>
        <v>181.0344827586207</v>
      </c>
      <c r="AE29" s="194">
        <f t="shared" si="10"/>
        <v>56.896551724137936</v>
      </c>
      <c r="AF29" s="195">
        <f t="shared" si="11"/>
        <v>0</v>
      </c>
      <c r="AK29" s="369"/>
      <c r="AL29" s="193" t="s">
        <v>53</v>
      </c>
      <c r="AM29" s="196">
        <v>0</v>
      </c>
      <c r="AN29" s="196">
        <v>66</v>
      </c>
      <c r="AO29" s="196">
        <v>210</v>
      </c>
      <c r="AP29" s="196">
        <v>390</v>
      </c>
      <c r="AQ29" s="196">
        <v>480</v>
      </c>
      <c r="AR29" s="196">
        <v>553</v>
      </c>
      <c r="AS29" s="196">
        <v>575</v>
      </c>
      <c r="AT29" s="196">
        <v>553</v>
      </c>
      <c r="AU29" s="196">
        <v>480</v>
      </c>
      <c r="AV29" s="196">
        <v>390</v>
      </c>
      <c r="AW29" s="196">
        <v>210</v>
      </c>
      <c r="AX29" s="196">
        <v>66</v>
      </c>
      <c r="AY29" s="197">
        <v>0</v>
      </c>
    </row>
    <row r="30" spans="1:51" ht="12.75" customHeight="1">
      <c r="A30" s="183"/>
      <c r="B30" s="368"/>
      <c r="C30" s="189" t="s">
        <v>377</v>
      </c>
      <c r="D30" s="190">
        <v>226.7241379310345</v>
      </c>
      <c r="E30" s="190">
        <v>398.2758620689655</v>
      </c>
      <c r="F30" s="190">
        <v>438.7931034482759</v>
      </c>
      <c r="G30" s="190">
        <v>393.1034482758621</v>
      </c>
      <c r="H30" s="190">
        <v>273.2758620689655</v>
      </c>
      <c r="I30" s="190">
        <v>122.41379310344828</v>
      </c>
      <c r="J30" s="190">
        <v>37.931034482758626</v>
      </c>
      <c r="K30" s="190">
        <v>37.931034482758626</v>
      </c>
      <c r="L30" s="190">
        <v>37.931034482758626</v>
      </c>
      <c r="M30" s="190">
        <v>35.3448275862069</v>
      </c>
      <c r="N30" s="190">
        <v>29.31034482758621</v>
      </c>
      <c r="O30" s="190">
        <v>20.689655172413794</v>
      </c>
      <c r="P30" s="191">
        <v>7.758620689655173</v>
      </c>
      <c r="Q30" s="183"/>
      <c r="R30" s="367" t="s">
        <v>377</v>
      </c>
      <c r="S30" s="184" t="s">
        <v>43</v>
      </c>
      <c r="T30" s="185">
        <f t="shared" si="12"/>
        <v>18.965517241379313</v>
      </c>
      <c r="U30" s="185">
        <f t="shared" si="0"/>
        <v>20.689655172413794</v>
      </c>
      <c r="V30" s="185">
        <f t="shared" si="1"/>
        <v>29.31034482758621</v>
      </c>
      <c r="W30" s="185">
        <f t="shared" si="2"/>
        <v>35.3448275862069</v>
      </c>
      <c r="X30" s="185">
        <f t="shared" si="3"/>
        <v>37.931034482758626</v>
      </c>
      <c r="Y30" s="185">
        <f t="shared" si="4"/>
        <v>37.931034482758626</v>
      </c>
      <c r="Z30" s="185">
        <f t="shared" si="5"/>
        <v>37.931034482758626</v>
      </c>
      <c r="AA30" s="185">
        <f t="shared" si="6"/>
        <v>37.931034482758626</v>
      </c>
      <c r="AB30" s="185">
        <f t="shared" si="7"/>
        <v>37.931034482758626</v>
      </c>
      <c r="AC30" s="185">
        <f t="shared" si="8"/>
        <v>35.3448275862069</v>
      </c>
      <c r="AD30" s="185">
        <f t="shared" si="9"/>
        <v>29.31034482758621</v>
      </c>
      <c r="AE30" s="185">
        <f t="shared" si="10"/>
        <v>20.689655172413794</v>
      </c>
      <c r="AF30" s="186">
        <f t="shared" si="11"/>
        <v>18.965517241379313</v>
      </c>
      <c r="AK30" s="367" t="s">
        <v>377</v>
      </c>
      <c r="AL30" s="184" t="s">
        <v>43</v>
      </c>
      <c r="AM30" s="187">
        <v>22</v>
      </c>
      <c r="AN30" s="187">
        <v>24</v>
      </c>
      <c r="AO30" s="187">
        <v>34</v>
      </c>
      <c r="AP30" s="187">
        <v>41</v>
      </c>
      <c r="AQ30" s="187">
        <v>44</v>
      </c>
      <c r="AR30" s="187">
        <v>44</v>
      </c>
      <c r="AS30" s="187">
        <v>44</v>
      </c>
      <c r="AT30" s="187">
        <v>44</v>
      </c>
      <c r="AU30" s="187">
        <v>44</v>
      </c>
      <c r="AV30" s="187">
        <v>41</v>
      </c>
      <c r="AW30" s="187">
        <v>34</v>
      </c>
      <c r="AX30" s="187">
        <v>24</v>
      </c>
      <c r="AY30" s="188">
        <v>22</v>
      </c>
    </row>
    <row r="31" spans="1:51" ht="12.75">
      <c r="A31" s="183"/>
      <c r="B31" s="368"/>
      <c r="C31" s="189" t="s">
        <v>376</v>
      </c>
      <c r="D31" s="190">
        <v>319.82758620689657</v>
      </c>
      <c r="E31" s="190">
        <v>436.2068965517242</v>
      </c>
      <c r="F31" s="190">
        <v>443.96551724137936</v>
      </c>
      <c r="G31" s="190">
        <v>389.65517241379314</v>
      </c>
      <c r="H31" s="190">
        <v>264.65517241379314</v>
      </c>
      <c r="I31" s="190">
        <v>116.37931034482759</v>
      </c>
      <c r="J31" s="190">
        <v>37.931034482758626</v>
      </c>
      <c r="K31" s="190">
        <v>37.931034482758626</v>
      </c>
      <c r="L31" s="190">
        <v>37.931034482758626</v>
      </c>
      <c r="M31" s="190">
        <v>35.3448275862069</v>
      </c>
      <c r="N31" s="190">
        <v>31.896551724137932</v>
      </c>
      <c r="O31" s="190">
        <v>26.724137931034484</v>
      </c>
      <c r="P31" s="191">
        <v>12.931034482758621</v>
      </c>
      <c r="Q31" s="183"/>
      <c r="R31" s="368"/>
      <c r="S31" s="189" t="s">
        <v>49</v>
      </c>
      <c r="T31" s="190">
        <f t="shared" si="12"/>
        <v>183.6206896551724</v>
      </c>
      <c r="U31" s="190">
        <f t="shared" si="0"/>
        <v>275.86206896551727</v>
      </c>
      <c r="V31" s="190">
        <f t="shared" si="1"/>
        <v>222.41379310344828</v>
      </c>
      <c r="W31" s="190">
        <f t="shared" si="2"/>
        <v>124.13793103448276</v>
      </c>
      <c r="X31" s="190">
        <f t="shared" si="3"/>
        <v>43.10344827586207</v>
      </c>
      <c r="Y31" s="190">
        <f t="shared" si="4"/>
        <v>37.931034482758626</v>
      </c>
      <c r="Z31" s="190">
        <f t="shared" si="5"/>
        <v>37.931034482758626</v>
      </c>
      <c r="AA31" s="190">
        <f t="shared" si="6"/>
        <v>37.931034482758626</v>
      </c>
      <c r="AB31" s="190">
        <f t="shared" si="7"/>
        <v>37.931034482758626</v>
      </c>
      <c r="AC31" s="190">
        <f t="shared" si="8"/>
        <v>35.3448275862069</v>
      </c>
      <c r="AD31" s="190">
        <f t="shared" si="9"/>
        <v>29.31034482758621</v>
      </c>
      <c r="AE31" s="190">
        <f t="shared" si="10"/>
        <v>20.689655172413794</v>
      </c>
      <c r="AF31" s="191">
        <f t="shared" si="11"/>
        <v>7.758620689655173</v>
      </c>
      <c r="AK31" s="368"/>
      <c r="AL31" s="189" t="s">
        <v>49</v>
      </c>
      <c r="AM31" s="11">
        <v>213</v>
      </c>
      <c r="AN31" s="11">
        <v>320</v>
      </c>
      <c r="AO31" s="11">
        <v>258</v>
      </c>
      <c r="AP31" s="11">
        <v>144</v>
      </c>
      <c r="AQ31" s="11">
        <v>50</v>
      </c>
      <c r="AR31" s="11">
        <v>44</v>
      </c>
      <c r="AS31" s="11">
        <v>44</v>
      </c>
      <c r="AT31" s="11">
        <v>44</v>
      </c>
      <c r="AU31" s="11">
        <v>44</v>
      </c>
      <c r="AV31" s="11">
        <v>41</v>
      </c>
      <c r="AW31" s="11">
        <v>34</v>
      </c>
      <c r="AX31" s="11">
        <v>24</v>
      </c>
      <c r="AY31" s="192">
        <v>9</v>
      </c>
    </row>
    <row r="32" spans="1:51" ht="12.75">
      <c r="A32" s="183"/>
      <c r="B32" s="368"/>
      <c r="C32" s="189" t="s">
        <v>54</v>
      </c>
      <c r="D32" s="190">
        <v>341.3793103448276</v>
      </c>
      <c r="E32" s="190">
        <v>436.2068965517242</v>
      </c>
      <c r="F32" s="190">
        <v>438.7931034482759</v>
      </c>
      <c r="G32" s="190">
        <v>385.3448275862069</v>
      </c>
      <c r="H32" s="190">
        <v>256.89655172413796</v>
      </c>
      <c r="I32" s="190">
        <v>118.96551724137932</v>
      </c>
      <c r="J32" s="190">
        <v>37.931034482758626</v>
      </c>
      <c r="K32" s="190">
        <v>37.931034482758626</v>
      </c>
      <c r="L32" s="190">
        <v>37.931034482758626</v>
      </c>
      <c r="M32" s="190">
        <v>35.3448275862069</v>
      </c>
      <c r="N32" s="190">
        <v>31.896551724137932</v>
      </c>
      <c r="O32" s="190">
        <v>26.724137931034484</v>
      </c>
      <c r="P32" s="191">
        <v>16.379310344827587</v>
      </c>
      <c r="Q32" s="183"/>
      <c r="R32" s="368"/>
      <c r="S32" s="189" t="s">
        <v>44</v>
      </c>
      <c r="T32" s="190">
        <f t="shared" si="12"/>
        <v>226.7241379310345</v>
      </c>
      <c r="U32" s="190">
        <f t="shared" si="0"/>
        <v>398.2758620689655</v>
      </c>
      <c r="V32" s="190">
        <f t="shared" si="1"/>
        <v>438.7931034482759</v>
      </c>
      <c r="W32" s="190">
        <f t="shared" si="2"/>
        <v>393.1034482758621</v>
      </c>
      <c r="X32" s="190">
        <f t="shared" si="3"/>
        <v>273.2758620689655</v>
      </c>
      <c r="Y32" s="190">
        <f t="shared" si="4"/>
        <v>122.41379310344828</v>
      </c>
      <c r="Z32" s="190">
        <f t="shared" si="5"/>
        <v>37.931034482758626</v>
      </c>
      <c r="AA32" s="190">
        <f t="shared" si="6"/>
        <v>37.931034482758626</v>
      </c>
      <c r="AB32" s="190">
        <f t="shared" si="7"/>
        <v>37.931034482758626</v>
      </c>
      <c r="AC32" s="190">
        <f t="shared" si="8"/>
        <v>35.3448275862069</v>
      </c>
      <c r="AD32" s="190">
        <f t="shared" si="9"/>
        <v>29.31034482758621</v>
      </c>
      <c r="AE32" s="190">
        <f t="shared" si="10"/>
        <v>20.689655172413794</v>
      </c>
      <c r="AF32" s="191">
        <f t="shared" si="11"/>
        <v>7.758620689655173</v>
      </c>
      <c r="AK32" s="368"/>
      <c r="AL32" s="189" t="s">
        <v>44</v>
      </c>
      <c r="AM32" s="11">
        <v>263</v>
      </c>
      <c r="AN32" s="11">
        <v>462</v>
      </c>
      <c r="AO32" s="11">
        <v>509</v>
      </c>
      <c r="AP32" s="11">
        <v>456</v>
      </c>
      <c r="AQ32" s="11">
        <v>317</v>
      </c>
      <c r="AR32" s="11">
        <v>142</v>
      </c>
      <c r="AS32" s="11">
        <v>44</v>
      </c>
      <c r="AT32" s="11">
        <v>44</v>
      </c>
      <c r="AU32" s="11">
        <v>44</v>
      </c>
      <c r="AV32" s="11">
        <v>41</v>
      </c>
      <c r="AW32" s="11">
        <v>34</v>
      </c>
      <c r="AX32" s="11">
        <v>24</v>
      </c>
      <c r="AY32" s="192">
        <v>9</v>
      </c>
    </row>
    <row r="33" spans="1:51" ht="12.75">
      <c r="A33" s="183"/>
      <c r="B33" s="368"/>
      <c r="C33" s="189" t="s">
        <v>374</v>
      </c>
      <c r="D33" s="190">
        <v>319.82758620689657</v>
      </c>
      <c r="E33" s="190">
        <v>436.2068965517242</v>
      </c>
      <c r="F33" s="190">
        <v>443.96551724137936</v>
      </c>
      <c r="G33" s="190">
        <v>389.65517241379314</v>
      </c>
      <c r="H33" s="190">
        <v>264.65517241379314</v>
      </c>
      <c r="I33" s="190">
        <v>116.37931034482759</v>
      </c>
      <c r="J33" s="190">
        <v>37.931034482758626</v>
      </c>
      <c r="K33" s="190">
        <v>37.931034482758626</v>
      </c>
      <c r="L33" s="190">
        <v>37.931034482758626</v>
      </c>
      <c r="M33" s="190">
        <v>35.3448275862069</v>
      </c>
      <c r="N33" s="190">
        <v>31.896551724137932</v>
      </c>
      <c r="O33" s="190">
        <v>26.724137931034484</v>
      </c>
      <c r="P33" s="191">
        <v>12.931034482758621</v>
      </c>
      <c r="Q33" s="183"/>
      <c r="R33" s="368"/>
      <c r="S33" s="189" t="s">
        <v>52</v>
      </c>
      <c r="T33" s="190">
        <f t="shared" si="12"/>
        <v>130.17241379310346</v>
      </c>
      <c r="U33" s="190">
        <f t="shared" si="0"/>
        <v>283.62068965517244</v>
      </c>
      <c r="V33" s="190">
        <f t="shared" si="1"/>
        <v>374.1379310344828</v>
      </c>
      <c r="W33" s="190">
        <f t="shared" si="2"/>
        <v>395.68965517241384</v>
      </c>
      <c r="X33" s="190">
        <f t="shared" si="3"/>
        <v>376.72413793103453</v>
      </c>
      <c r="Y33" s="190">
        <f t="shared" si="4"/>
        <v>289.65517241379314</v>
      </c>
      <c r="Z33" s="190">
        <f t="shared" si="5"/>
        <v>179.31034482758622</v>
      </c>
      <c r="AA33" s="190">
        <f t="shared" si="6"/>
        <v>67.24137931034483</v>
      </c>
      <c r="AB33" s="190">
        <f t="shared" si="7"/>
        <v>37.931034482758626</v>
      </c>
      <c r="AC33" s="190">
        <f t="shared" si="8"/>
        <v>35.3448275862069</v>
      </c>
      <c r="AD33" s="190">
        <f t="shared" si="9"/>
        <v>31.896551724137932</v>
      </c>
      <c r="AE33" s="190">
        <f t="shared" si="10"/>
        <v>20.689655172413794</v>
      </c>
      <c r="AF33" s="191">
        <f t="shared" si="11"/>
        <v>7.758620689655173</v>
      </c>
      <c r="AK33" s="368"/>
      <c r="AL33" s="189" t="s">
        <v>52</v>
      </c>
      <c r="AM33" s="11">
        <v>151</v>
      </c>
      <c r="AN33" s="11">
        <v>329</v>
      </c>
      <c r="AO33" s="11">
        <v>434</v>
      </c>
      <c r="AP33" s="11">
        <v>459</v>
      </c>
      <c r="AQ33" s="11">
        <v>437</v>
      </c>
      <c r="AR33" s="11">
        <v>336</v>
      </c>
      <c r="AS33" s="11">
        <v>208</v>
      </c>
      <c r="AT33" s="11">
        <v>78</v>
      </c>
      <c r="AU33" s="11">
        <v>44</v>
      </c>
      <c r="AV33" s="11">
        <v>41</v>
      </c>
      <c r="AW33" s="11">
        <v>37</v>
      </c>
      <c r="AX33" s="11">
        <v>24</v>
      </c>
      <c r="AY33" s="192">
        <v>9</v>
      </c>
    </row>
    <row r="34" spans="1:51" ht="12.75">
      <c r="A34" s="183"/>
      <c r="B34" s="368"/>
      <c r="C34" s="189" t="s">
        <v>375</v>
      </c>
      <c r="D34" s="190">
        <v>226.7241379310345</v>
      </c>
      <c r="E34" s="190">
        <v>398.2758620689655</v>
      </c>
      <c r="F34" s="190">
        <v>438.7931034482759</v>
      </c>
      <c r="G34" s="190">
        <v>393.1034482758621</v>
      </c>
      <c r="H34" s="190">
        <v>273.2758620689655</v>
      </c>
      <c r="I34" s="190">
        <v>122.41379310344828</v>
      </c>
      <c r="J34" s="190">
        <v>37.931034482758626</v>
      </c>
      <c r="K34" s="190">
        <v>37.931034482758626</v>
      </c>
      <c r="L34" s="190">
        <v>37.931034482758626</v>
      </c>
      <c r="M34" s="190">
        <v>35.3448275862069</v>
      </c>
      <c r="N34" s="190">
        <v>29.31034482758621</v>
      </c>
      <c r="O34" s="190">
        <v>20.689655172413794</v>
      </c>
      <c r="P34" s="191">
        <v>7.758620689655173</v>
      </c>
      <c r="Q34" s="183"/>
      <c r="R34" s="368"/>
      <c r="S34" s="189" t="s">
        <v>46</v>
      </c>
      <c r="T34" s="190">
        <f t="shared" si="12"/>
        <v>7.758620689655173</v>
      </c>
      <c r="U34" s="190">
        <f t="shared" si="0"/>
        <v>20.689655172413794</v>
      </c>
      <c r="V34" s="190">
        <f t="shared" si="1"/>
        <v>64.65517241379311</v>
      </c>
      <c r="W34" s="190">
        <f t="shared" si="2"/>
        <v>137.93103448275863</v>
      </c>
      <c r="X34" s="190">
        <f t="shared" si="3"/>
        <v>241.37931034482762</v>
      </c>
      <c r="Y34" s="190">
        <f t="shared" si="4"/>
        <v>262.93103448275866</v>
      </c>
      <c r="Z34" s="190">
        <f t="shared" si="5"/>
        <v>275.86206896551727</v>
      </c>
      <c r="AA34" s="190">
        <f t="shared" si="6"/>
        <v>262.93103448275866</v>
      </c>
      <c r="AB34" s="190">
        <f t="shared" si="7"/>
        <v>241.37931034482762</v>
      </c>
      <c r="AC34" s="190">
        <f t="shared" si="8"/>
        <v>137.93103448275863</v>
      </c>
      <c r="AD34" s="190">
        <f t="shared" si="9"/>
        <v>64.65517241379311</v>
      </c>
      <c r="AE34" s="190">
        <f t="shared" si="10"/>
        <v>20.689655172413794</v>
      </c>
      <c r="AF34" s="191">
        <f t="shared" si="11"/>
        <v>7.758620689655173</v>
      </c>
      <c r="AK34" s="368"/>
      <c r="AL34" s="189" t="s">
        <v>52</v>
      </c>
      <c r="AM34" s="11">
        <v>9</v>
      </c>
      <c r="AN34" s="11">
        <v>24</v>
      </c>
      <c r="AO34" s="11">
        <v>75</v>
      </c>
      <c r="AP34" s="11">
        <v>160</v>
      </c>
      <c r="AQ34" s="11">
        <v>280</v>
      </c>
      <c r="AR34" s="11">
        <v>305</v>
      </c>
      <c r="AS34" s="11">
        <v>320</v>
      </c>
      <c r="AT34" s="11">
        <v>305</v>
      </c>
      <c r="AU34" s="11">
        <v>280</v>
      </c>
      <c r="AV34" s="11">
        <v>160</v>
      </c>
      <c r="AW34" s="11">
        <v>75</v>
      </c>
      <c r="AX34" s="11">
        <v>24</v>
      </c>
      <c r="AY34" s="192">
        <v>9</v>
      </c>
    </row>
    <row r="35" spans="1:51" ht="12.75">
      <c r="A35" s="183"/>
      <c r="B35" s="368"/>
      <c r="C35" s="189" t="s">
        <v>378</v>
      </c>
      <c r="D35" s="190">
        <v>0</v>
      </c>
      <c r="E35" s="190">
        <v>313.7931034482759</v>
      </c>
      <c r="F35" s="190">
        <v>404.3103448275862</v>
      </c>
      <c r="G35" s="190">
        <v>376.72413793103453</v>
      </c>
      <c r="H35" s="190">
        <v>268.1034482758621</v>
      </c>
      <c r="I35" s="190">
        <v>122.41379310344828</v>
      </c>
      <c r="J35" s="190">
        <v>37.931034482758626</v>
      </c>
      <c r="K35" s="190">
        <v>35.3448275862069</v>
      </c>
      <c r="L35" s="190">
        <v>35.3448275862069</v>
      </c>
      <c r="M35" s="190">
        <v>31.896551724137932</v>
      </c>
      <c r="N35" s="190">
        <v>24.13793103448276</v>
      </c>
      <c r="O35" s="190">
        <v>12.931034482758621</v>
      </c>
      <c r="P35" s="191">
        <v>0</v>
      </c>
      <c r="Q35" s="183"/>
      <c r="R35" s="368"/>
      <c r="S35" s="189" t="s">
        <v>50</v>
      </c>
      <c r="T35" s="190">
        <f t="shared" si="12"/>
        <v>7.758620689655173</v>
      </c>
      <c r="U35" s="190">
        <f t="shared" si="0"/>
        <v>20.689655172413794</v>
      </c>
      <c r="V35" s="190">
        <f t="shared" si="1"/>
        <v>31.896551724137932</v>
      </c>
      <c r="W35" s="190">
        <f t="shared" si="2"/>
        <v>35.3448275862069</v>
      </c>
      <c r="X35" s="190">
        <f t="shared" si="3"/>
        <v>37.931034482758626</v>
      </c>
      <c r="Y35" s="190">
        <f t="shared" si="4"/>
        <v>67.24137931034483</v>
      </c>
      <c r="Z35" s="190">
        <f t="shared" si="5"/>
        <v>179.31034482758622</v>
      </c>
      <c r="AA35" s="190">
        <f t="shared" si="6"/>
        <v>289.65517241379314</v>
      </c>
      <c r="AB35" s="190">
        <f t="shared" si="7"/>
        <v>376.72413793103453</v>
      </c>
      <c r="AC35" s="190">
        <f t="shared" si="8"/>
        <v>395.68965517241384</v>
      </c>
      <c r="AD35" s="190">
        <f t="shared" si="9"/>
        <v>374.1379310344828</v>
      </c>
      <c r="AE35" s="190">
        <f t="shared" si="10"/>
        <v>283.62068965517244</v>
      </c>
      <c r="AF35" s="191">
        <f t="shared" si="11"/>
        <v>130.17241379310346</v>
      </c>
      <c r="AK35" s="368"/>
      <c r="AL35" s="189" t="s">
        <v>50</v>
      </c>
      <c r="AM35" s="11">
        <v>9</v>
      </c>
      <c r="AN35" s="11">
        <v>24</v>
      </c>
      <c r="AO35" s="11">
        <v>37</v>
      </c>
      <c r="AP35" s="11">
        <v>41</v>
      </c>
      <c r="AQ35" s="11">
        <v>44</v>
      </c>
      <c r="AR35" s="11">
        <v>78</v>
      </c>
      <c r="AS35" s="11">
        <v>208</v>
      </c>
      <c r="AT35" s="11">
        <v>336</v>
      </c>
      <c r="AU35" s="11">
        <v>437</v>
      </c>
      <c r="AV35" s="11">
        <v>459</v>
      </c>
      <c r="AW35" s="11">
        <v>434</v>
      </c>
      <c r="AX35" s="11">
        <v>329</v>
      </c>
      <c r="AY35" s="192">
        <v>151</v>
      </c>
    </row>
    <row r="36" spans="1:51" ht="12.75">
      <c r="A36" s="183"/>
      <c r="B36" s="368"/>
      <c r="C36" s="189" t="s">
        <v>380</v>
      </c>
      <c r="D36" s="190">
        <v>0</v>
      </c>
      <c r="E36" s="190">
        <v>198.27586206896552</v>
      </c>
      <c r="F36" s="190">
        <v>268.1034482758621</v>
      </c>
      <c r="G36" s="190">
        <v>283.62068965517244</v>
      </c>
      <c r="H36" s="190">
        <v>213.79310344827587</v>
      </c>
      <c r="I36" s="190">
        <v>93.96551724137932</v>
      </c>
      <c r="J36" s="190">
        <v>29.31034482758621</v>
      </c>
      <c r="K36" s="190">
        <v>26.724137931034484</v>
      </c>
      <c r="L36" s="190">
        <v>24.13793103448276</v>
      </c>
      <c r="M36" s="190">
        <v>18.965517241379313</v>
      </c>
      <c r="N36" s="190">
        <v>10.344827586206897</v>
      </c>
      <c r="O36" s="190">
        <v>0</v>
      </c>
      <c r="P36" s="191">
        <v>0</v>
      </c>
      <c r="Q36" s="183"/>
      <c r="R36" s="368"/>
      <c r="S36" s="189" t="s">
        <v>45</v>
      </c>
      <c r="T36" s="190">
        <f t="shared" si="12"/>
        <v>7.758620689655173</v>
      </c>
      <c r="U36" s="190">
        <f t="shared" si="0"/>
        <v>20.689655172413794</v>
      </c>
      <c r="V36" s="190">
        <f t="shared" si="1"/>
        <v>31.896551724137932</v>
      </c>
      <c r="W36" s="190">
        <f t="shared" si="2"/>
        <v>35.3448275862069</v>
      </c>
      <c r="X36" s="190">
        <f t="shared" si="3"/>
        <v>37.931034482758626</v>
      </c>
      <c r="Y36" s="190">
        <f t="shared" si="4"/>
        <v>37.931034482758626</v>
      </c>
      <c r="Z36" s="190">
        <f t="shared" si="5"/>
        <v>37.931034482758626</v>
      </c>
      <c r="AA36" s="190">
        <f t="shared" si="6"/>
        <v>122.41379310344828</v>
      </c>
      <c r="AB36" s="190">
        <f t="shared" si="7"/>
        <v>273.2758620689655</v>
      </c>
      <c r="AC36" s="190">
        <f t="shared" si="8"/>
        <v>393.1034482758621</v>
      </c>
      <c r="AD36" s="190">
        <f t="shared" si="9"/>
        <v>438.7931034482759</v>
      </c>
      <c r="AE36" s="190">
        <f t="shared" si="10"/>
        <v>398.2758620689655</v>
      </c>
      <c r="AF36" s="191">
        <f t="shared" si="11"/>
        <v>226.7241379310345</v>
      </c>
      <c r="AK36" s="368"/>
      <c r="AL36" s="189" t="s">
        <v>45</v>
      </c>
      <c r="AM36" s="11">
        <v>9</v>
      </c>
      <c r="AN36" s="11">
        <v>24</v>
      </c>
      <c r="AO36" s="11">
        <v>37</v>
      </c>
      <c r="AP36" s="11">
        <v>41</v>
      </c>
      <c r="AQ36" s="11">
        <v>44</v>
      </c>
      <c r="AR36" s="11">
        <v>44</v>
      </c>
      <c r="AS36" s="11">
        <v>44</v>
      </c>
      <c r="AT36" s="11">
        <v>142</v>
      </c>
      <c r="AU36" s="11">
        <v>317</v>
      </c>
      <c r="AV36" s="11">
        <v>456</v>
      </c>
      <c r="AW36" s="11">
        <v>509</v>
      </c>
      <c r="AX36" s="11">
        <v>462</v>
      </c>
      <c r="AY36" s="192">
        <v>263</v>
      </c>
    </row>
    <row r="37" spans="1:51" ht="12.75">
      <c r="A37" s="183"/>
      <c r="B37" s="368"/>
      <c r="C37" s="189" t="s">
        <v>382</v>
      </c>
      <c r="D37" s="190">
        <v>0</v>
      </c>
      <c r="E37" s="190">
        <v>0</v>
      </c>
      <c r="F37" s="190">
        <v>137.93103448275863</v>
      </c>
      <c r="G37" s="190">
        <v>173.27586206896552</v>
      </c>
      <c r="H37" s="190">
        <v>154.31034482758622</v>
      </c>
      <c r="I37" s="190">
        <v>75</v>
      </c>
      <c r="J37" s="190">
        <v>24.13793103448276</v>
      </c>
      <c r="K37" s="190">
        <v>20.689655172413794</v>
      </c>
      <c r="L37" s="190">
        <v>16.379310344827587</v>
      </c>
      <c r="M37" s="190">
        <v>10.344827586206897</v>
      </c>
      <c r="N37" s="190">
        <v>1.7241379310344829</v>
      </c>
      <c r="O37" s="190">
        <v>0</v>
      </c>
      <c r="P37" s="191">
        <v>0</v>
      </c>
      <c r="Q37" s="183"/>
      <c r="R37" s="368"/>
      <c r="S37" s="189" t="s">
        <v>51</v>
      </c>
      <c r="T37" s="190">
        <f t="shared" si="12"/>
        <v>7.758620689655173</v>
      </c>
      <c r="U37" s="190">
        <f t="shared" si="0"/>
        <v>20.689655172413794</v>
      </c>
      <c r="V37" s="190">
        <f t="shared" si="1"/>
        <v>31.896551724137932</v>
      </c>
      <c r="W37" s="190">
        <f t="shared" si="2"/>
        <v>35.3448275862069</v>
      </c>
      <c r="X37" s="190">
        <f t="shared" si="3"/>
        <v>37.931034482758626</v>
      </c>
      <c r="Y37" s="190">
        <f t="shared" si="4"/>
        <v>37.931034482758626</v>
      </c>
      <c r="Z37" s="190">
        <f t="shared" si="5"/>
        <v>37.931034482758626</v>
      </c>
      <c r="AA37" s="190">
        <f t="shared" si="6"/>
        <v>37.931034482758626</v>
      </c>
      <c r="AB37" s="190">
        <f t="shared" si="7"/>
        <v>43.10344827586207</v>
      </c>
      <c r="AC37" s="190">
        <f t="shared" si="8"/>
        <v>124.13793103448276</v>
      </c>
      <c r="AD37" s="190">
        <f t="shared" si="9"/>
        <v>222.41379310344828</v>
      </c>
      <c r="AE37" s="190">
        <f t="shared" si="10"/>
        <v>275.86206896551727</v>
      </c>
      <c r="AF37" s="191">
        <f t="shared" si="11"/>
        <v>183.6206896551724</v>
      </c>
      <c r="AK37" s="368"/>
      <c r="AL37" s="189" t="s">
        <v>51</v>
      </c>
      <c r="AM37" s="11">
        <v>9</v>
      </c>
      <c r="AN37" s="11">
        <v>24</v>
      </c>
      <c r="AO37" s="11">
        <v>37</v>
      </c>
      <c r="AP37" s="11">
        <v>41</v>
      </c>
      <c r="AQ37" s="11">
        <v>44</v>
      </c>
      <c r="AR37" s="11">
        <v>44</v>
      </c>
      <c r="AS37" s="11">
        <v>44</v>
      </c>
      <c r="AT37" s="11">
        <v>44</v>
      </c>
      <c r="AU37" s="11">
        <v>50</v>
      </c>
      <c r="AV37" s="11">
        <v>144</v>
      </c>
      <c r="AW37" s="11">
        <v>258</v>
      </c>
      <c r="AX37" s="11">
        <v>320</v>
      </c>
      <c r="AY37" s="192">
        <v>213</v>
      </c>
    </row>
    <row r="38" spans="1:51" ht="13.5" thickBot="1">
      <c r="A38" s="183"/>
      <c r="B38" s="369"/>
      <c r="C38" s="193" t="s">
        <v>383</v>
      </c>
      <c r="D38" s="194">
        <v>0</v>
      </c>
      <c r="E38" s="194">
        <v>0</v>
      </c>
      <c r="F38" s="194">
        <v>0</v>
      </c>
      <c r="G38" s="194">
        <v>73.27586206896552</v>
      </c>
      <c r="H38" s="194">
        <v>126.72413793103449</v>
      </c>
      <c r="I38" s="194">
        <v>62.06896551724138</v>
      </c>
      <c r="J38" s="194">
        <v>18.965517241379313</v>
      </c>
      <c r="K38" s="194">
        <v>16.379310344827587</v>
      </c>
      <c r="L38" s="194">
        <v>12.931034482758621</v>
      </c>
      <c r="M38" s="194">
        <v>7.758620689655173</v>
      </c>
      <c r="N38" s="194">
        <v>0</v>
      </c>
      <c r="O38" s="194">
        <v>0</v>
      </c>
      <c r="P38" s="195">
        <v>0</v>
      </c>
      <c r="Q38" s="183"/>
      <c r="R38" s="369"/>
      <c r="S38" s="193" t="s">
        <v>53</v>
      </c>
      <c r="T38" s="194">
        <f t="shared" si="12"/>
        <v>24.13793103448276</v>
      </c>
      <c r="U38" s="194">
        <f t="shared" si="0"/>
        <v>126.72413793103449</v>
      </c>
      <c r="V38" s="194">
        <f t="shared" si="1"/>
        <v>270.68965517241384</v>
      </c>
      <c r="W38" s="194">
        <f t="shared" si="2"/>
        <v>406.0344827586207</v>
      </c>
      <c r="X38" s="194">
        <f t="shared" si="3"/>
        <v>500.86206896551727</v>
      </c>
      <c r="Y38" s="194">
        <f t="shared" si="4"/>
        <v>556.0344827586207</v>
      </c>
      <c r="Z38" s="194">
        <f t="shared" si="5"/>
        <v>580.1724137931035</v>
      </c>
      <c r="AA38" s="194">
        <f t="shared" si="6"/>
        <v>556.0344827586207</v>
      </c>
      <c r="AB38" s="194">
        <f t="shared" si="7"/>
        <v>500.86206896551727</v>
      </c>
      <c r="AC38" s="194">
        <f t="shared" si="8"/>
        <v>406.0344827586207</v>
      </c>
      <c r="AD38" s="194">
        <f t="shared" si="9"/>
        <v>270.68965517241384</v>
      </c>
      <c r="AE38" s="194">
        <f t="shared" si="10"/>
        <v>126.72413793103449</v>
      </c>
      <c r="AF38" s="195">
        <f t="shared" si="11"/>
        <v>24.13793103448276</v>
      </c>
      <c r="AK38" s="369"/>
      <c r="AL38" s="193" t="s">
        <v>53</v>
      </c>
      <c r="AM38" s="196">
        <v>28</v>
      </c>
      <c r="AN38" s="196">
        <v>147</v>
      </c>
      <c r="AO38" s="196">
        <v>314</v>
      </c>
      <c r="AP38" s="196">
        <v>471</v>
      </c>
      <c r="AQ38" s="196">
        <v>581</v>
      </c>
      <c r="AR38" s="196">
        <v>645</v>
      </c>
      <c r="AS38" s="196">
        <v>673</v>
      </c>
      <c r="AT38" s="196">
        <v>645</v>
      </c>
      <c r="AU38" s="196">
        <v>581</v>
      </c>
      <c r="AV38" s="196">
        <v>471</v>
      </c>
      <c r="AW38" s="196">
        <v>314</v>
      </c>
      <c r="AX38" s="196">
        <v>147</v>
      </c>
      <c r="AY38" s="197">
        <v>28</v>
      </c>
    </row>
    <row r="39" spans="1:51" ht="12.75" customHeight="1">
      <c r="A39" s="183"/>
      <c r="B39" s="367" t="s">
        <v>404</v>
      </c>
      <c r="C39" s="184" t="s">
        <v>384</v>
      </c>
      <c r="D39" s="185">
        <v>0</v>
      </c>
      <c r="E39" s="185">
        <v>0</v>
      </c>
      <c r="F39" s="185">
        <v>168.1034482758621</v>
      </c>
      <c r="G39" s="185">
        <v>256.89655172413796</v>
      </c>
      <c r="H39" s="185">
        <v>343.96551724137936</v>
      </c>
      <c r="I39" s="185">
        <v>343.96551724137936</v>
      </c>
      <c r="J39" s="185">
        <v>289.65517241379314</v>
      </c>
      <c r="K39" s="185">
        <v>181.0344827586207</v>
      </c>
      <c r="L39" s="185">
        <v>56.896551724137936</v>
      </c>
      <c r="M39" s="185">
        <v>10.344827586206897</v>
      </c>
      <c r="N39" s="185">
        <v>1.7241379310344829</v>
      </c>
      <c r="O39" s="185">
        <v>0</v>
      </c>
      <c r="P39" s="186">
        <v>0</v>
      </c>
      <c r="Q39" s="183"/>
      <c r="R39" s="367" t="s">
        <v>376</v>
      </c>
      <c r="S39" s="184" t="s">
        <v>43</v>
      </c>
      <c r="T39" s="185">
        <f t="shared" si="12"/>
        <v>64.65517241379311</v>
      </c>
      <c r="U39" s="185">
        <f t="shared" si="0"/>
        <v>37.931034482758626</v>
      </c>
      <c r="V39" s="185">
        <f t="shared" si="1"/>
        <v>31.896551724137932</v>
      </c>
      <c r="W39" s="185">
        <f t="shared" si="2"/>
        <v>35.3448275862069</v>
      </c>
      <c r="X39" s="185">
        <f t="shared" si="3"/>
        <v>37.931034482758626</v>
      </c>
      <c r="Y39" s="185">
        <f t="shared" si="4"/>
        <v>37.931034482758626</v>
      </c>
      <c r="Z39" s="185">
        <f t="shared" si="5"/>
        <v>37.931034482758626</v>
      </c>
      <c r="AA39" s="185">
        <f t="shared" si="6"/>
        <v>37.931034482758626</v>
      </c>
      <c r="AB39" s="185">
        <f t="shared" si="7"/>
        <v>37.931034482758626</v>
      </c>
      <c r="AC39" s="185">
        <f t="shared" si="8"/>
        <v>35.3448275862069</v>
      </c>
      <c r="AD39" s="185">
        <f t="shared" si="9"/>
        <v>31.896551724137932</v>
      </c>
      <c r="AE39" s="185">
        <f t="shared" si="10"/>
        <v>37.931034482758626</v>
      </c>
      <c r="AF39" s="186">
        <f t="shared" si="11"/>
        <v>64.65517241379311</v>
      </c>
      <c r="AK39" s="367" t="s">
        <v>376</v>
      </c>
      <c r="AL39" s="184" t="s">
        <v>43</v>
      </c>
      <c r="AM39" s="187">
        <v>75</v>
      </c>
      <c r="AN39" s="187">
        <v>44</v>
      </c>
      <c r="AO39" s="187">
        <v>37</v>
      </c>
      <c r="AP39" s="187">
        <v>41</v>
      </c>
      <c r="AQ39" s="187">
        <v>44</v>
      </c>
      <c r="AR39" s="187">
        <v>44</v>
      </c>
      <c r="AS39" s="187">
        <v>44</v>
      </c>
      <c r="AT39" s="187">
        <v>44</v>
      </c>
      <c r="AU39" s="187">
        <v>44</v>
      </c>
      <c r="AV39" s="187">
        <v>41</v>
      </c>
      <c r="AW39" s="187">
        <v>37</v>
      </c>
      <c r="AX39" s="187">
        <v>44</v>
      </c>
      <c r="AY39" s="188">
        <v>75</v>
      </c>
    </row>
    <row r="40" spans="1:51" ht="12.75">
      <c r="A40" s="183"/>
      <c r="B40" s="368"/>
      <c r="C40" s="189" t="s">
        <v>381</v>
      </c>
      <c r="D40" s="190">
        <v>0</v>
      </c>
      <c r="E40" s="190">
        <v>187.0689655172414</v>
      </c>
      <c r="F40" s="190">
        <v>300.86206896551727</v>
      </c>
      <c r="G40" s="190">
        <v>393.1034482758621</v>
      </c>
      <c r="H40" s="190">
        <v>425</v>
      </c>
      <c r="I40" s="190">
        <v>389.65517241379314</v>
      </c>
      <c r="J40" s="190">
        <v>311.2068965517242</v>
      </c>
      <c r="K40" s="190">
        <v>187.0689655172414</v>
      </c>
      <c r="L40" s="190">
        <v>64.65517241379311</v>
      </c>
      <c r="M40" s="190">
        <v>18.965517241379313</v>
      </c>
      <c r="N40" s="190">
        <v>10.344827586206897</v>
      </c>
      <c r="O40" s="190">
        <v>0</v>
      </c>
      <c r="P40" s="191">
        <v>0</v>
      </c>
      <c r="Q40" s="183"/>
      <c r="R40" s="368"/>
      <c r="S40" s="189" t="s">
        <v>49</v>
      </c>
      <c r="T40" s="190">
        <f t="shared" si="12"/>
        <v>287.0689655172414</v>
      </c>
      <c r="U40" s="190">
        <f t="shared" si="0"/>
        <v>343.96551724137936</v>
      </c>
      <c r="V40" s="190">
        <f t="shared" si="1"/>
        <v>283.62068965517244</v>
      </c>
      <c r="W40" s="190">
        <f t="shared" si="2"/>
        <v>179.31034482758622</v>
      </c>
      <c r="X40" s="190">
        <f t="shared" si="3"/>
        <v>69.82758620689656</v>
      </c>
      <c r="Y40" s="190">
        <f t="shared" si="4"/>
        <v>37.931034482758626</v>
      </c>
      <c r="Z40" s="190">
        <f t="shared" si="5"/>
        <v>37.931034482758626</v>
      </c>
      <c r="AA40" s="190">
        <f t="shared" si="6"/>
        <v>37.931034482758626</v>
      </c>
      <c r="AB40" s="190">
        <f t="shared" si="7"/>
        <v>37.931034482758626</v>
      </c>
      <c r="AC40" s="190">
        <f t="shared" si="8"/>
        <v>35.3448275862069</v>
      </c>
      <c r="AD40" s="190">
        <f t="shared" si="9"/>
        <v>31.896551724137932</v>
      </c>
      <c r="AE40" s="190">
        <f t="shared" si="10"/>
        <v>26.724137931034484</v>
      </c>
      <c r="AF40" s="191">
        <f t="shared" si="11"/>
        <v>12.931034482758621</v>
      </c>
      <c r="AK40" s="368"/>
      <c r="AL40" s="189" t="s">
        <v>49</v>
      </c>
      <c r="AM40" s="11">
        <v>333</v>
      </c>
      <c r="AN40" s="11">
        <v>399</v>
      </c>
      <c r="AO40" s="11">
        <v>329</v>
      </c>
      <c r="AP40" s="11">
        <v>208</v>
      </c>
      <c r="AQ40" s="11">
        <v>81</v>
      </c>
      <c r="AR40" s="11">
        <v>44</v>
      </c>
      <c r="AS40" s="11">
        <v>44</v>
      </c>
      <c r="AT40" s="11">
        <v>44</v>
      </c>
      <c r="AU40" s="11">
        <v>44</v>
      </c>
      <c r="AV40" s="11">
        <v>41</v>
      </c>
      <c r="AW40" s="11">
        <v>37</v>
      </c>
      <c r="AX40" s="11">
        <v>31</v>
      </c>
      <c r="AY40" s="192">
        <v>15</v>
      </c>
    </row>
    <row r="41" spans="1:51" ht="12.75">
      <c r="A41" s="183"/>
      <c r="B41" s="368"/>
      <c r="C41" s="189" t="s">
        <v>379</v>
      </c>
      <c r="D41" s="190">
        <v>0</v>
      </c>
      <c r="E41" s="190">
        <v>256.89655172413796</v>
      </c>
      <c r="F41" s="190">
        <v>389.65517241379314</v>
      </c>
      <c r="G41" s="190">
        <v>438.7931034482759</v>
      </c>
      <c r="H41" s="190">
        <v>425</v>
      </c>
      <c r="I41" s="190">
        <v>360.3448275862069</v>
      </c>
      <c r="J41" s="190">
        <v>243.96551724137933</v>
      </c>
      <c r="K41" s="190">
        <v>111.20689655172414</v>
      </c>
      <c r="L41" s="190">
        <v>37.931034482758626</v>
      </c>
      <c r="M41" s="190">
        <v>31.896551724137932</v>
      </c>
      <c r="N41" s="190">
        <v>24.13793103448276</v>
      </c>
      <c r="O41" s="190">
        <v>12.931034482758621</v>
      </c>
      <c r="P41" s="191">
        <v>0</v>
      </c>
      <c r="Q41" s="183"/>
      <c r="R41" s="368"/>
      <c r="S41" s="189" t="s">
        <v>44</v>
      </c>
      <c r="T41" s="190">
        <f t="shared" si="12"/>
        <v>319.82758620689657</v>
      </c>
      <c r="U41" s="190">
        <f t="shared" si="0"/>
        <v>436.2068965517242</v>
      </c>
      <c r="V41" s="190">
        <f t="shared" si="1"/>
        <v>443.96551724137936</v>
      </c>
      <c r="W41" s="190">
        <f t="shared" si="2"/>
        <v>389.65517241379314</v>
      </c>
      <c r="X41" s="190">
        <f t="shared" si="3"/>
        <v>264.65517241379314</v>
      </c>
      <c r="Y41" s="190">
        <f t="shared" si="4"/>
        <v>116.37931034482759</v>
      </c>
      <c r="Z41" s="190">
        <f t="shared" si="5"/>
        <v>37.931034482758626</v>
      </c>
      <c r="AA41" s="190">
        <f t="shared" si="6"/>
        <v>37.931034482758626</v>
      </c>
      <c r="AB41" s="190">
        <f t="shared" si="7"/>
        <v>37.931034482758626</v>
      </c>
      <c r="AC41" s="190">
        <f t="shared" si="8"/>
        <v>35.3448275862069</v>
      </c>
      <c r="AD41" s="190">
        <f t="shared" si="9"/>
        <v>31.896551724137932</v>
      </c>
      <c r="AE41" s="190">
        <f t="shared" si="10"/>
        <v>26.724137931034484</v>
      </c>
      <c r="AF41" s="191">
        <f t="shared" si="11"/>
        <v>12.931034482758621</v>
      </c>
      <c r="AK41" s="368"/>
      <c r="AL41" s="189" t="s">
        <v>44</v>
      </c>
      <c r="AM41" s="11">
        <v>371</v>
      </c>
      <c r="AN41" s="11">
        <v>506</v>
      </c>
      <c r="AO41" s="11">
        <v>515</v>
      </c>
      <c r="AP41" s="11">
        <v>452</v>
      </c>
      <c r="AQ41" s="11">
        <v>307</v>
      </c>
      <c r="AR41" s="11">
        <v>135</v>
      </c>
      <c r="AS41" s="11">
        <v>44</v>
      </c>
      <c r="AT41" s="11">
        <v>44</v>
      </c>
      <c r="AU41" s="11">
        <v>44</v>
      </c>
      <c r="AV41" s="11">
        <v>41</v>
      </c>
      <c r="AW41" s="11">
        <v>37</v>
      </c>
      <c r="AX41" s="11">
        <v>31</v>
      </c>
      <c r="AY41" s="192">
        <v>15</v>
      </c>
    </row>
    <row r="42" spans="1:51" ht="12.75">
      <c r="A42" s="183"/>
      <c r="B42" s="368"/>
      <c r="C42" s="189" t="s">
        <v>377</v>
      </c>
      <c r="D42" s="190">
        <v>130.17241379310346</v>
      </c>
      <c r="E42" s="190">
        <v>283.62068965517244</v>
      </c>
      <c r="F42" s="190">
        <v>374.1379310344828</v>
      </c>
      <c r="G42" s="190">
        <v>395.68965517241384</v>
      </c>
      <c r="H42" s="190">
        <v>376.72413793103453</v>
      </c>
      <c r="I42" s="190">
        <v>289.65517241379314</v>
      </c>
      <c r="J42" s="190">
        <v>179.31034482758622</v>
      </c>
      <c r="K42" s="190">
        <v>67.24137931034483</v>
      </c>
      <c r="L42" s="190">
        <v>37.931034482758626</v>
      </c>
      <c r="M42" s="190">
        <v>35.3448275862069</v>
      </c>
      <c r="N42" s="190">
        <v>31.896551724137932</v>
      </c>
      <c r="O42" s="190">
        <v>20.689655172413794</v>
      </c>
      <c r="P42" s="191">
        <v>7.758620689655173</v>
      </c>
      <c r="Q42" s="183"/>
      <c r="R42" s="368"/>
      <c r="S42" s="189" t="s">
        <v>52</v>
      </c>
      <c r="T42" s="190">
        <f t="shared" si="12"/>
        <v>145.6896551724138</v>
      </c>
      <c r="U42" s="190">
        <f t="shared" si="0"/>
        <v>260.3448275862069</v>
      </c>
      <c r="V42" s="190">
        <f t="shared" si="1"/>
        <v>322.4137931034483</v>
      </c>
      <c r="W42" s="190">
        <f t="shared" si="2"/>
        <v>338.7931034482759</v>
      </c>
      <c r="X42" s="190">
        <f t="shared" si="3"/>
        <v>298.2758620689655</v>
      </c>
      <c r="Y42" s="190">
        <f t="shared" si="4"/>
        <v>222.41379310344828</v>
      </c>
      <c r="Z42" s="190">
        <f t="shared" si="5"/>
        <v>112.93103448275863</v>
      </c>
      <c r="AA42" s="190">
        <f t="shared" si="6"/>
        <v>39.6551724137931</v>
      </c>
      <c r="AB42" s="190">
        <f t="shared" si="7"/>
        <v>37.931034482758626</v>
      </c>
      <c r="AC42" s="190">
        <f t="shared" si="8"/>
        <v>35.3448275862069</v>
      </c>
      <c r="AD42" s="190">
        <f t="shared" si="9"/>
        <v>31.896551724137932</v>
      </c>
      <c r="AE42" s="190">
        <f t="shared" si="10"/>
        <v>26.724137931034484</v>
      </c>
      <c r="AF42" s="191">
        <f t="shared" si="11"/>
        <v>12.931034482758621</v>
      </c>
      <c r="AK42" s="368"/>
      <c r="AL42" s="189" t="s">
        <v>52</v>
      </c>
      <c r="AM42" s="11">
        <v>169</v>
      </c>
      <c r="AN42" s="11">
        <v>302</v>
      </c>
      <c r="AO42" s="11">
        <v>374</v>
      </c>
      <c r="AP42" s="11">
        <v>393</v>
      </c>
      <c r="AQ42" s="11">
        <v>346</v>
      </c>
      <c r="AR42" s="11">
        <v>258</v>
      </c>
      <c r="AS42" s="11">
        <v>131</v>
      </c>
      <c r="AT42" s="11">
        <v>46</v>
      </c>
      <c r="AU42" s="11">
        <v>44</v>
      </c>
      <c r="AV42" s="11">
        <v>41</v>
      </c>
      <c r="AW42" s="11">
        <v>37</v>
      </c>
      <c r="AX42" s="11">
        <v>31</v>
      </c>
      <c r="AY42" s="192">
        <v>15</v>
      </c>
    </row>
    <row r="43" spans="1:51" ht="12.75">
      <c r="A43" s="183"/>
      <c r="B43" s="368"/>
      <c r="C43" s="189" t="s">
        <v>376</v>
      </c>
      <c r="D43" s="190">
        <v>145.6896551724138</v>
      </c>
      <c r="E43" s="190">
        <v>260.3448275862069</v>
      </c>
      <c r="F43" s="190">
        <v>322.4137931034483</v>
      </c>
      <c r="G43" s="190">
        <v>338.7931034482759</v>
      </c>
      <c r="H43" s="190">
        <v>298.2758620689655</v>
      </c>
      <c r="I43" s="190">
        <v>222.41379310344828</v>
      </c>
      <c r="J43" s="190">
        <v>112.93103448275863</v>
      </c>
      <c r="K43" s="190">
        <v>39.6551724137931</v>
      </c>
      <c r="L43" s="190">
        <v>37.931034482758626</v>
      </c>
      <c r="M43" s="190">
        <v>35.3448275862069</v>
      </c>
      <c r="N43" s="190">
        <v>31.896551724137932</v>
      </c>
      <c r="O43" s="190">
        <v>26.724137931034484</v>
      </c>
      <c r="P43" s="191">
        <v>12.931034482758621</v>
      </c>
      <c r="Q43" s="183"/>
      <c r="R43" s="368"/>
      <c r="S43" s="189" t="s">
        <v>46</v>
      </c>
      <c r="T43" s="190">
        <f t="shared" si="12"/>
        <v>12.931034482758621</v>
      </c>
      <c r="U43" s="190">
        <f t="shared" si="0"/>
        <v>26.724137931034484</v>
      </c>
      <c r="V43" s="190">
        <f t="shared" si="1"/>
        <v>35.3448275862069</v>
      </c>
      <c r="W43" s="190">
        <f t="shared" si="2"/>
        <v>69.82758620689656</v>
      </c>
      <c r="X43" s="190">
        <f t="shared" si="3"/>
        <v>118.96551724137932</v>
      </c>
      <c r="Y43" s="190">
        <f t="shared" si="4"/>
        <v>169.82758620689657</v>
      </c>
      <c r="Z43" s="190">
        <f t="shared" si="5"/>
        <v>187.0689655172414</v>
      </c>
      <c r="AA43" s="190">
        <f t="shared" si="6"/>
        <v>169.82758620689657</v>
      </c>
      <c r="AB43" s="190">
        <f t="shared" si="7"/>
        <v>118.96551724137932</v>
      </c>
      <c r="AC43" s="190">
        <f t="shared" si="8"/>
        <v>69.82758620689656</v>
      </c>
      <c r="AD43" s="190">
        <f t="shared" si="9"/>
        <v>35.3448275862069</v>
      </c>
      <c r="AE43" s="190">
        <f t="shared" si="10"/>
        <v>26.724137931034484</v>
      </c>
      <c r="AF43" s="191">
        <f t="shared" si="11"/>
        <v>12.931034482758621</v>
      </c>
      <c r="AK43" s="368"/>
      <c r="AL43" s="189" t="s">
        <v>52</v>
      </c>
      <c r="AM43" s="11">
        <v>15</v>
      </c>
      <c r="AN43" s="11">
        <v>31</v>
      </c>
      <c r="AO43" s="11">
        <v>41</v>
      </c>
      <c r="AP43" s="11">
        <v>81</v>
      </c>
      <c r="AQ43" s="11">
        <v>138</v>
      </c>
      <c r="AR43" s="11">
        <v>197</v>
      </c>
      <c r="AS43" s="11">
        <v>217</v>
      </c>
      <c r="AT43" s="11">
        <v>197</v>
      </c>
      <c r="AU43" s="11">
        <v>138</v>
      </c>
      <c r="AV43" s="11">
        <v>81</v>
      </c>
      <c r="AW43" s="11">
        <v>41</v>
      </c>
      <c r="AX43" s="11">
        <v>31</v>
      </c>
      <c r="AY43" s="192">
        <v>15</v>
      </c>
    </row>
    <row r="44" spans="1:51" ht="12.75">
      <c r="A44" s="183"/>
      <c r="B44" s="368"/>
      <c r="C44" s="189" t="s">
        <v>54</v>
      </c>
      <c r="D44" s="190">
        <v>137.93103448275863</v>
      </c>
      <c r="E44" s="190">
        <v>237.93103448275863</v>
      </c>
      <c r="F44" s="190">
        <v>294.82758620689657</v>
      </c>
      <c r="G44" s="190">
        <v>300.86206896551727</v>
      </c>
      <c r="H44" s="190">
        <v>268.1034482758621</v>
      </c>
      <c r="I44" s="190">
        <v>192.24137931034485</v>
      </c>
      <c r="J44" s="190">
        <v>92.24137931034484</v>
      </c>
      <c r="K44" s="190">
        <v>37.931034482758626</v>
      </c>
      <c r="L44" s="190">
        <v>37.931034482758626</v>
      </c>
      <c r="M44" s="190">
        <v>35.3448275862069</v>
      </c>
      <c r="N44" s="190">
        <v>31.896551724137932</v>
      </c>
      <c r="O44" s="190">
        <v>26.724137931034484</v>
      </c>
      <c r="P44" s="191">
        <v>16.379310344827587</v>
      </c>
      <c r="Q44" s="183"/>
      <c r="R44" s="368"/>
      <c r="S44" s="189" t="s">
        <v>50</v>
      </c>
      <c r="T44" s="190">
        <f t="shared" si="12"/>
        <v>12.931034482758621</v>
      </c>
      <c r="U44" s="190">
        <f t="shared" si="0"/>
        <v>26.724137931034484</v>
      </c>
      <c r="V44" s="190">
        <f t="shared" si="1"/>
        <v>31.896551724137932</v>
      </c>
      <c r="W44" s="190">
        <f t="shared" si="2"/>
        <v>35.3448275862069</v>
      </c>
      <c r="X44" s="190">
        <f t="shared" si="3"/>
        <v>37.931034482758626</v>
      </c>
      <c r="Y44" s="190">
        <f t="shared" si="4"/>
        <v>39.6551724137931</v>
      </c>
      <c r="Z44" s="190">
        <f t="shared" si="5"/>
        <v>112.93103448275863</v>
      </c>
      <c r="AA44" s="190">
        <f t="shared" si="6"/>
        <v>222.41379310344828</v>
      </c>
      <c r="AB44" s="190">
        <f t="shared" si="7"/>
        <v>298.2758620689655</v>
      </c>
      <c r="AC44" s="190">
        <f t="shared" si="8"/>
        <v>338.7931034482759</v>
      </c>
      <c r="AD44" s="190">
        <f t="shared" si="9"/>
        <v>322.4137931034483</v>
      </c>
      <c r="AE44" s="190">
        <f t="shared" si="10"/>
        <v>260.3448275862069</v>
      </c>
      <c r="AF44" s="191">
        <f t="shared" si="11"/>
        <v>146.55172413793105</v>
      </c>
      <c r="AK44" s="368"/>
      <c r="AL44" s="189" t="s">
        <v>50</v>
      </c>
      <c r="AM44" s="11">
        <v>15</v>
      </c>
      <c r="AN44" s="11">
        <v>31</v>
      </c>
      <c r="AO44" s="11">
        <v>37</v>
      </c>
      <c r="AP44" s="11">
        <v>41</v>
      </c>
      <c r="AQ44" s="11">
        <v>44</v>
      </c>
      <c r="AR44" s="11">
        <v>46</v>
      </c>
      <c r="AS44" s="11">
        <v>131</v>
      </c>
      <c r="AT44" s="11">
        <v>258</v>
      </c>
      <c r="AU44" s="11">
        <v>346</v>
      </c>
      <c r="AV44" s="11">
        <v>393</v>
      </c>
      <c r="AW44" s="11">
        <v>374</v>
      </c>
      <c r="AX44" s="11">
        <v>302</v>
      </c>
      <c r="AY44" s="192">
        <v>170</v>
      </c>
    </row>
    <row r="45" spans="1:51" ht="12.75">
      <c r="A45" s="183"/>
      <c r="B45" s="368"/>
      <c r="C45" s="189" t="s">
        <v>374</v>
      </c>
      <c r="D45" s="190">
        <v>145.6896551724138</v>
      </c>
      <c r="E45" s="190">
        <v>260.3448275862069</v>
      </c>
      <c r="F45" s="190">
        <v>322.4137931034483</v>
      </c>
      <c r="G45" s="190">
        <v>338.7931034482759</v>
      </c>
      <c r="H45" s="190">
        <v>298.2758620689655</v>
      </c>
      <c r="I45" s="190">
        <v>222.41379310344828</v>
      </c>
      <c r="J45" s="190">
        <v>112.93103448275863</v>
      </c>
      <c r="K45" s="190">
        <v>39.6551724137931</v>
      </c>
      <c r="L45" s="190">
        <v>37.931034482758626</v>
      </c>
      <c r="M45" s="190">
        <v>35.3448275862069</v>
      </c>
      <c r="N45" s="190">
        <v>31.896551724137932</v>
      </c>
      <c r="O45" s="190">
        <v>26.724137931034484</v>
      </c>
      <c r="P45" s="191">
        <v>12.931034482758621</v>
      </c>
      <c r="Q45" s="183"/>
      <c r="R45" s="368"/>
      <c r="S45" s="189" t="s">
        <v>45</v>
      </c>
      <c r="T45" s="190">
        <f t="shared" si="12"/>
        <v>12.931034482758621</v>
      </c>
      <c r="U45" s="190">
        <f t="shared" si="0"/>
        <v>26.724137931034484</v>
      </c>
      <c r="V45" s="190">
        <f t="shared" si="1"/>
        <v>31.896551724137932</v>
      </c>
      <c r="W45" s="190">
        <f t="shared" si="2"/>
        <v>35.3448275862069</v>
      </c>
      <c r="X45" s="190">
        <f t="shared" si="3"/>
        <v>37.931034482758626</v>
      </c>
      <c r="Y45" s="190">
        <f t="shared" si="4"/>
        <v>37.931034482758626</v>
      </c>
      <c r="Z45" s="190">
        <f t="shared" si="5"/>
        <v>37.931034482758626</v>
      </c>
      <c r="AA45" s="190">
        <f t="shared" si="6"/>
        <v>116.37931034482759</v>
      </c>
      <c r="AB45" s="190">
        <f t="shared" si="7"/>
        <v>264.65517241379314</v>
      </c>
      <c r="AC45" s="190">
        <f t="shared" si="8"/>
        <v>389.65517241379314</v>
      </c>
      <c r="AD45" s="190">
        <f t="shared" si="9"/>
        <v>443.96551724137936</v>
      </c>
      <c r="AE45" s="190">
        <f t="shared" si="10"/>
        <v>436.2068965517242</v>
      </c>
      <c r="AF45" s="191">
        <f t="shared" si="11"/>
        <v>319.82758620689657</v>
      </c>
      <c r="AK45" s="368"/>
      <c r="AL45" s="189" t="s">
        <v>45</v>
      </c>
      <c r="AM45" s="11">
        <v>15</v>
      </c>
      <c r="AN45" s="11">
        <v>31</v>
      </c>
      <c r="AO45" s="11">
        <v>37</v>
      </c>
      <c r="AP45" s="11">
        <v>41</v>
      </c>
      <c r="AQ45" s="11">
        <v>44</v>
      </c>
      <c r="AR45" s="11">
        <v>44</v>
      </c>
      <c r="AS45" s="11">
        <v>44</v>
      </c>
      <c r="AT45" s="11">
        <v>135</v>
      </c>
      <c r="AU45" s="11">
        <v>307</v>
      </c>
      <c r="AV45" s="11">
        <v>452</v>
      </c>
      <c r="AW45" s="11">
        <v>515</v>
      </c>
      <c r="AX45" s="11">
        <v>506</v>
      </c>
      <c r="AY45" s="192">
        <v>371</v>
      </c>
    </row>
    <row r="46" spans="1:51" ht="12.75">
      <c r="A46" s="183"/>
      <c r="B46" s="368"/>
      <c r="C46" s="189" t="s">
        <v>375</v>
      </c>
      <c r="D46" s="190">
        <v>130.17241379310346</v>
      </c>
      <c r="E46" s="190">
        <v>283.62068965517244</v>
      </c>
      <c r="F46" s="190">
        <v>374.1379310344828</v>
      </c>
      <c r="G46" s="190">
        <v>395.68965517241384</v>
      </c>
      <c r="H46" s="190">
        <v>376.72413793103453</v>
      </c>
      <c r="I46" s="190">
        <v>289.65517241379314</v>
      </c>
      <c r="J46" s="190">
        <v>179.31034482758622</v>
      </c>
      <c r="K46" s="190">
        <v>67.24137931034483</v>
      </c>
      <c r="L46" s="190">
        <v>37.931034482758626</v>
      </c>
      <c r="M46" s="190">
        <v>35.3448275862069</v>
      </c>
      <c r="N46" s="190">
        <v>31.896551724137932</v>
      </c>
      <c r="O46" s="190">
        <v>20.689655172413794</v>
      </c>
      <c r="P46" s="191">
        <v>7.758620689655173</v>
      </c>
      <c r="Q46" s="183"/>
      <c r="R46" s="368"/>
      <c r="S46" s="189" t="s">
        <v>51</v>
      </c>
      <c r="T46" s="190">
        <f t="shared" si="12"/>
        <v>12.931034482758621</v>
      </c>
      <c r="U46" s="190">
        <f t="shared" si="0"/>
        <v>26.724137931034484</v>
      </c>
      <c r="V46" s="190">
        <f t="shared" si="1"/>
        <v>31.896551724137932</v>
      </c>
      <c r="W46" s="190">
        <f t="shared" si="2"/>
        <v>35.3448275862069</v>
      </c>
      <c r="X46" s="190">
        <f t="shared" si="3"/>
        <v>37.931034482758626</v>
      </c>
      <c r="Y46" s="190">
        <f t="shared" si="4"/>
        <v>37.931034482758626</v>
      </c>
      <c r="Z46" s="190">
        <f t="shared" si="5"/>
        <v>37.931034482758626</v>
      </c>
      <c r="AA46" s="190">
        <f t="shared" si="6"/>
        <v>37.931034482758626</v>
      </c>
      <c r="AB46" s="190">
        <f t="shared" si="7"/>
        <v>69.82758620689656</v>
      </c>
      <c r="AC46" s="190">
        <f t="shared" si="8"/>
        <v>179.31034482758622</v>
      </c>
      <c r="AD46" s="190">
        <f t="shared" si="9"/>
        <v>283.62068965517244</v>
      </c>
      <c r="AE46" s="190">
        <f t="shared" si="10"/>
        <v>343.96551724137936</v>
      </c>
      <c r="AF46" s="191">
        <f t="shared" si="11"/>
        <v>287.0689655172414</v>
      </c>
      <c r="AK46" s="368"/>
      <c r="AL46" s="189" t="s">
        <v>51</v>
      </c>
      <c r="AM46" s="11">
        <v>15</v>
      </c>
      <c r="AN46" s="11">
        <v>31</v>
      </c>
      <c r="AO46" s="11">
        <v>37</v>
      </c>
      <c r="AP46" s="11">
        <v>41</v>
      </c>
      <c r="AQ46" s="11">
        <v>44</v>
      </c>
      <c r="AR46" s="11">
        <v>44</v>
      </c>
      <c r="AS46" s="11">
        <v>44</v>
      </c>
      <c r="AT46" s="11">
        <v>44</v>
      </c>
      <c r="AU46" s="11">
        <v>81</v>
      </c>
      <c r="AV46" s="11">
        <v>208</v>
      </c>
      <c r="AW46" s="11">
        <v>329</v>
      </c>
      <c r="AX46" s="11">
        <v>399</v>
      </c>
      <c r="AY46" s="192">
        <v>333</v>
      </c>
    </row>
    <row r="47" spans="1:51" ht="13.5" thickBot="1">
      <c r="A47" s="183"/>
      <c r="B47" s="368"/>
      <c r="C47" s="189" t="s">
        <v>378</v>
      </c>
      <c r="D47" s="198">
        <v>0</v>
      </c>
      <c r="E47" s="198">
        <v>256.89655172413796</v>
      </c>
      <c r="F47" s="198">
        <v>389.65517241379314</v>
      </c>
      <c r="G47" s="198">
        <v>438.7931034482759</v>
      </c>
      <c r="H47" s="198">
        <v>425</v>
      </c>
      <c r="I47" s="198">
        <v>360.3448275862069</v>
      </c>
      <c r="J47" s="198">
        <v>243.96551724137933</v>
      </c>
      <c r="K47" s="198">
        <v>111.20689655172414</v>
      </c>
      <c r="L47" s="198">
        <v>37.931034482758626</v>
      </c>
      <c r="M47" s="198">
        <v>31.896551724137932</v>
      </c>
      <c r="N47" s="198">
        <v>24.13793103448276</v>
      </c>
      <c r="O47" s="198">
        <v>12.931034482758621</v>
      </c>
      <c r="P47" s="199">
        <v>0</v>
      </c>
      <c r="Q47" s="183"/>
      <c r="R47" s="369"/>
      <c r="S47" s="193" t="s">
        <v>53</v>
      </c>
      <c r="T47" s="194">
        <f t="shared" si="12"/>
        <v>64.65517241379311</v>
      </c>
      <c r="U47" s="194">
        <f t="shared" si="0"/>
        <v>198.27586206896552</v>
      </c>
      <c r="V47" s="194">
        <f t="shared" si="1"/>
        <v>341.3793103448276</v>
      </c>
      <c r="W47" s="194">
        <f t="shared" si="2"/>
        <v>462.93103448275866</v>
      </c>
      <c r="X47" s="194">
        <f t="shared" si="3"/>
        <v>550</v>
      </c>
      <c r="Y47" s="194">
        <f t="shared" si="4"/>
        <v>610.344827586207</v>
      </c>
      <c r="Z47" s="194">
        <f t="shared" si="5"/>
        <v>631.0344827586207</v>
      </c>
      <c r="AA47" s="194">
        <f t="shared" si="6"/>
        <v>610.344827586207</v>
      </c>
      <c r="AB47" s="194">
        <f t="shared" si="7"/>
        <v>550</v>
      </c>
      <c r="AC47" s="194">
        <f t="shared" si="8"/>
        <v>462.93103448275866</v>
      </c>
      <c r="AD47" s="194">
        <f t="shared" si="9"/>
        <v>341.3793103448276</v>
      </c>
      <c r="AE47" s="194">
        <f t="shared" si="10"/>
        <v>198.27586206896552</v>
      </c>
      <c r="AF47" s="195">
        <f t="shared" si="11"/>
        <v>64.65517241379311</v>
      </c>
      <c r="AK47" s="369"/>
      <c r="AL47" s="193" t="s">
        <v>53</v>
      </c>
      <c r="AM47" s="196">
        <v>75</v>
      </c>
      <c r="AN47" s="196">
        <v>230</v>
      </c>
      <c r="AO47" s="196">
        <v>396</v>
      </c>
      <c r="AP47" s="196">
        <v>537</v>
      </c>
      <c r="AQ47" s="196">
        <v>638</v>
      </c>
      <c r="AR47" s="196">
        <v>708</v>
      </c>
      <c r="AS47" s="196">
        <v>732</v>
      </c>
      <c r="AT47" s="196">
        <v>708</v>
      </c>
      <c r="AU47" s="196">
        <v>638</v>
      </c>
      <c r="AV47" s="196">
        <v>537</v>
      </c>
      <c r="AW47" s="196">
        <v>396</v>
      </c>
      <c r="AX47" s="196">
        <v>230</v>
      </c>
      <c r="AY47" s="197">
        <v>75</v>
      </c>
    </row>
    <row r="48" spans="1:51" ht="12.75" customHeight="1">
      <c r="A48" s="200"/>
      <c r="B48" s="368"/>
      <c r="C48" s="189" t="s">
        <v>380</v>
      </c>
      <c r="D48" s="198">
        <v>0</v>
      </c>
      <c r="E48" s="198">
        <v>187.0689655172414</v>
      </c>
      <c r="F48" s="198">
        <v>300.86206896551727</v>
      </c>
      <c r="G48" s="198">
        <v>393.1034482758621</v>
      </c>
      <c r="H48" s="198">
        <v>425</v>
      </c>
      <c r="I48" s="198">
        <v>389.65517241379314</v>
      </c>
      <c r="J48" s="198">
        <v>311.2068965517242</v>
      </c>
      <c r="K48" s="198">
        <v>187.0689655172414</v>
      </c>
      <c r="L48" s="198">
        <v>64.65517241379311</v>
      </c>
      <c r="M48" s="198">
        <v>18.965517241379313</v>
      </c>
      <c r="N48" s="198">
        <v>10.344827586206897</v>
      </c>
      <c r="O48" s="198">
        <v>0</v>
      </c>
      <c r="P48" s="199">
        <v>0</v>
      </c>
      <c r="Q48" s="200"/>
      <c r="R48" s="370" t="s">
        <v>54</v>
      </c>
      <c r="S48" s="201" t="s">
        <v>43</v>
      </c>
      <c r="T48" s="202">
        <f t="shared" si="12"/>
        <v>87.06896551724138</v>
      </c>
      <c r="U48" s="202">
        <f t="shared" si="0"/>
        <v>54.31034482758621</v>
      </c>
      <c r="V48" s="202">
        <f t="shared" si="1"/>
        <v>31.896551724137932</v>
      </c>
      <c r="W48" s="202">
        <f t="shared" si="2"/>
        <v>35.3448275862069</v>
      </c>
      <c r="X48" s="202">
        <f t="shared" si="3"/>
        <v>37.931034482758626</v>
      </c>
      <c r="Y48" s="202">
        <f t="shared" si="4"/>
        <v>37.931034482758626</v>
      </c>
      <c r="Z48" s="202">
        <f t="shared" si="5"/>
        <v>37.931034482758626</v>
      </c>
      <c r="AA48" s="202">
        <f t="shared" si="6"/>
        <v>37.931034482758626</v>
      </c>
      <c r="AB48" s="202">
        <f t="shared" si="7"/>
        <v>37.931034482758626</v>
      </c>
      <c r="AC48" s="202">
        <f t="shared" si="8"/>
        <v>35.3448275862069</v>
      </c>
      <c r="AD48" s="202">
        <f t="shared" si="9"/>
        <v>31.896551724137932</v>
      </c>
      <c r="AE48" s="202">
        <f t="shared" si="10"/>
        <v>54.31034482758621</v>
      </c>
      <c r="AF48" s="203">
        <f t="shared" si="11"/>
        <v>86.20689655172414</v>
      </c>
      <c r="AK48" s="370" t="s">
        <v>54</v>
      </c>
      <c r="AL48" s="201" t="s">
        <v>43</v>
      </c>
      <c r="AM48" s="204">
        <v>101</v>
      </c>
      <c r="AN48" s="204">
        <v>63</v>
      </c>
      <c r="AO48" s="204">
        <v>37</v>
      </c>
      <c r="AP48" s="204">
        <v>41</v>
      </c>
      <c r="AQ48" s="204">
        <v>44</v>
      </c>
      <c r="AR48" s="204">
        <v>44</v>
      </c>
      <c r="AS48" s="204">
        <v>44</v>
      </c>
      <c r="AT48" s="204">
        <v>44</v>
      </c>
      <c r="AU48" s="204">
        <v>44</v>
      </c>
      <c r="AV48" s="204">
        <v>41</v>
      </c>
      <c r="AW48" s="204">
        <v>37</v>
      </c>
      <c r="AX48" s="204">
        <v>63</v>
      </c>
      <c r="AY48" s="205">
        <v>100</v>
      </c>
    </row>
    <row r="49" spans="1:51" ht="12.75">
      <c r="A49" s="200"/>
      <c r="B49" s="368"/>
      <c r="C49" s="189" t="s">
        <v>382</v>
      </c>
      <c r="D49" s="198">
        <v>0</v>
      </c>
      <c r="E49" s="198">
        <v>0</v>
      </c>
      <c r="F49" s="198">
        <v>168.1034482758621</v>
      </c>
      <c r="G49" s="198">
        <v>256.89655172413796</v>
      </c>
      <c r="H49" s="198">
        <v>343.96551724137936</v>
      </c>
      <c r="I49" s="198">
        <v>343.96551724137936</v>
      </c>
      <c r="J49" s="198">
        <v>289.65517241379314</v>
      </c>
      <c r="K49" s="198">
        <v>181.0344827586207</v>
      </c>
      <c r="L49" s="198">
        <v>56.896551724137936</v>
      </c>
      <c r="M49" s="198">
        <v>10.344827586206897</v>
      </c>
      <c r="N49" s="198">
        <v>1.7241379310344829</v>
      </c>
      <c r="O49" s="198">
        <v>0</v>
      </c>
      <c r="P49" s="199">
        <v>0</v>
      </c>
      <c r="Q49" s="200"/>
      <c r="R49" s="371"/>
      <c r="S49" s="206" t="s">
        <v>49</v>
      </c>
      <c r="T49" s="207">
        <f t="shared" si="12"/>
        <v>319.82758620689657</v>
      </c>
      <c r="U49" s="207">
        <f t="shared" si="0"/>
        <v>360.3448275862069</v>
      </c>
      <c r="V49" s="207">
        <f t="shared" si="1"/>
        <v>302.58620689655174</v>
      </c>
      <c r="W49" s="207">
        <f t="shared" si="2"/>
        <v>198.27586206896552</v>
      </c>
      <c r="X49" s="207">
        <f t="shared" si="3"/>
        <v>81.0344827586207</v>
      </c>
      <c r="Y49" s="207">
        <f t="shared" si="4"/>
        <v>37.931034482758626</v>
      </c>
      <c r="Z49" s="207">
        <f t="shared" si="5"/>
        <v>37.931034482758626</v>
      </c>
      <c r="AA49" s="207">
        <f t="shared" si="6"/>
        <v>37.931034482758626</v>
      </c>
      <c r="AB49" s="207">
        <f t="shared" si="7"/>
        <v>37.931034482758626</v>
      </c>
      <c r="AC49" s="207">
        <f t="shared" si="8"/>
        <v>35.3448275862069</v>
      </c>
      <c r="AD49" s="207">
        <f t="shared" si="9"/>
        <v>31.896551724137932</v>
      </c>
      <c r="AE49" s="207">
        <f t="shared" si="10"/>
        <v>26.724137931034484</v>
      </c>
      <c r="AF49" s="208">
        <f t="shared" si="11"/>
        <v>16.379310344827587</v>
      </c>
      <c r="AK49" s="371"/>
      <c r="AL49" s="206" t="s">
        <v>49</v>
      </c>
      <c r="AM49" s="209">
        <v>371</v>
      </c>
      <c r="AN49" s="209">
        <v>418</v>
      </c>
      <c r="AO49" s="209">
        <v>351</v>
      </c>
      <c r="AP49" s="209">
        <v>230</v>
      </c>
      <c r="AQ49" s="209">
        <v>94</v>
      </c>
      <c r="AR49" s="209">
        <v>44</v>
      </c>
      <c r="AS49" s="209">
        <v>44</v>
      </c>
      <c r="AT49" s="209">
        <v>44</v>
      </c>
      <c r="AU49" s="209">
        <v>44</v>
      </c>
      <c r="AV49" s="209">
        <v>41</v>
      </c>
      <c r="AW49" s="209">
        <v>37</v>
      </c>
      <c r="AX49" s="209">
        <v>31</v>
      </c>
      <c r="AY49" s="210">
        <v>19</v>
      </c>
    </row>
    <row r="50" spans="1:51" ht="13.5" thickBot="1">
      <c r="A50" s="200"/>
      <c r="B50" s="369"/>
      <c r="C50" s="193" t="s">
        <v>383</v>
      </c>
      <c r="D50" s="211">
        <v>0</v>
      </c>
      <c r="E50" s="211">
        <v>0</v>
      </c>
      <c r="F50" s="211">
        <v>0</v>
      </c>
      <c r="G50" s="211">
        <v>111.20689655172414</v>
      </c>
      <c r="H50" s="211">
        <v>289.65517241379314</v>
      </c>
      <c r="I50" s="211">
        <v>313.7931034482759</v>
      </c>
      <c r="J50" s="211">
        <v>270.68965517241384</v>
      </c>
      <c r="K50" s="211">
        <v>168.1034482758621</v>
      </c>
      <c r="L50" s="211">
        <v>67.24137931034483</v>
      </c>
      <c r="M50" s="211">
        <v>7.758620689655173</v>
      </c>
      <c r="N50" s="211">
        <v>0</v>
      </c>
      <c r="O50" s="211">
        <v>0</v>
      </c>
      <c r="P50" s="212">
        <v>0</v>
      </c>
      <c r="Q50" s="200"/>
      <c r="R50" s="371"/>
      <c r="S50" s="206" t="s">
        <v>44</v>
      </c>
      <c r="T50" s="207">
        <f t="shared" si="12"/>
        <v>341.3793103448276</v>
      </c>
      <c r="U50" s="207">
        <f t="shared" si="0"/>
        <v>436.2068965517242</v>
      </c>
      <c r="V50" s="207">
        <f t="shared" si="1"/>
        <v>438.7931034482759</v>
      </c>
      <c r="W50" s="207">
        <f t="shared" si="2"/>
        <v>385.3448275862069</v>
      </c>
      <c r="X50" s="207">
        <f t="shared" si="3"/>
        <v>256.89655172413796</v>
      </c>
      <c r="Y50" s="207">
        <f t="shared" si="4"/>
        <v>118.96551724137932</v>
      </c>
      <c r="Z50" s="207">
        <f t="shared" si="5"/>
        <v>37.931034482758626</v>
      </c>
      <c r="AA50" s="207">
        <f t="shared" si="6"/>
        <v>37.931034482758626</v>
      </c>
      <c r="AB50" s="207">
        <f t="shared" si="7"/>
        <v>37.931034482758626</v>
      </c>
      <c r="AC50" s="207">
        <f t="shared" si="8"/>
        <v>35.3448275862069</v>
      </c>
      <c r="AD50" s="207">
        <f t="shared" si="9"/>
        <v>31.896551724137932</v>
      </c>
      <c r="AE50" s="207">
        <f t="shared" si="10"/>
        <v>26.724137931034484</v>
      </c>
      <c r="AF50" s="208">
        <f t="shared" si="11"/>
        <v>16.379310344827587</v>
      </c>
      <c r="AK50" s="371"/>
      <c r="AL50" s="206" t="s">
        <v>44</v>
      </c>
      <c r="AM50" s="209">
        <v>396</v>
      </c>
      <c r="AN50" s="209">
        <v>506</v>
      </c>
      <c r="AO50" s="209">
        <v>509</v>
      </c>
      <c r="AP50" s="209">
        <v>447</v>
      </c>
      <c r="AQ50" s="209">
        <v>298</v>
      </c>
      <c r="AR50" s="209">
        <v>138</v>
      </c>
      <c r="AS50" s="209">
        <v>44</v>
      </c>
      <c r="AT50" s="209">
        <v>44</v>
      </c>
      <c r="AU50" s="209">
        <v>44</v>
      </c>
      <c r="AV50" s="209">
        <v>41</v>
      </c>
      <c r="AW50" s="209">
        <v>37</v>
      </c>
      <c r="AX50" s="209">
        <v>31</v>
      </c>
      <c r="AY50" s="210">
        <v>19</v>
      </c>
    </row>
    <row r="51" spans="1:51" ht="12.75">
      <c r="A51" s="200"/>
      <c r="B51" s="367" t="s">
        <v>405</v>
      </c>
      <c r="C51" s="184" t="s">
        <v>384</v>
      </c>
      <c r="D51" s="213">
        <v>0</v>
      </c>
      <c r="E51" s="213">
        <v>0</v>
      </c>
      <c r="F51" s="213">
        <v>92.24137931034484</v>
      </c>
      <c r="G51" s="213">
        <v>188.79310344827587</v>
      </c>
      <c r="H51" s="213">
        <v>313.7931034482759</v>
      </c>
      <c r="I51" s="213">
        <v>387.0689655172414</v>
      </c>
      <c r="J51" s="213">
        <v>413.7931034482759</v>
      </c>
      <c r="K51" s="213">
        <v>387.0689655172414</v>
      </c>
      <c r="L51" s="213">
        <v>313.7931034482759</v>
      </c>
      <c r="M51" s="213">
        <v>188.79310344827587</v>
      </c>
      <c r="N51" s="213">
        <v>92.24137931034484</v>
      </c>
      <c r="O51" s="213">
        <v>0</v>
      </c>
      <c r="P51" s="214">
        <v>0</v>
      </c>
      <c r="Q51" s="200"/>
      <c r="R51" s="371"/>
      <c r="S51" s="206" t="s">
        <v>52</v>
      </c>
      <c r="T51" s="207">
        <f t="shared" si="12"/>
        <v>137.93103448275863</v>
      </c>
      <c r="U51" s="207">
        <f t="shared" si="0"/>
        <v>237.93103448275863</v>
      </c>
      <c r="V51" s="207">
        <f t="shared" si="1"/>
        <v>294.82758620689657</v>
      </c>
      <c r="W51" s="207">
        <f t="shared" si="2"/>
        <v>300.86206896551727</v>
      </c>
      <c r="X51" s="207">
        <f t="shared" si="3"/>
        <v>268.1034482758621</v>
      </c>
      <c r="Y51" s="207">
        <f t="shared" si="4"/>
        <v>192.24137931034485</v>
      </c>
      <c r="Z51" s="207">
        <f t="shared" si="5"/>
        <v>92.24137931034484</v>
      </c>
      <c r="AA51" s="207">
        <f t="shared" si="6"/>
        <v>37.931034482758626</v>
      </c>
      <c r="AB51" s="207">
        <f t="shared" si="7"/>
        <v>37.931034482758626</v>
      </c>
      <c r="AC51" s="207">
        <f t="shared" si="8"/>
        <v>35.3448275862069</v>
      </c>
      <c r="AD51" s="207">
        <f t="shared" si="9"/>
        <v>31.896551724137932</v>
      </c>
      <c r="AE51" s="207">
        <f t="shared" si="10"/>
        <v>26.724137931034484</v>
      </c>
      <c r="AF51" s="208">
        <f t="shared" si="11"/>
        <v>16.379310344827587</v>
      </c>
      <c r="AK51" s="371"/>
      <c r="AL51" s="206" t="s">
        <v>52</v>
      </c>
      <c r="AM51" s="209">
        <v>160</v>
      </c>
      <c r="AN51" s="209">
        <v>276</v>
      </c>
      <c r="AO51" s="209">
        <v>342</v>
      </c>
      <c r="AP51" s="209">
        <v>349</v>
      </c>
      <c r="AQ51" s="209">
        <v>311</v>
      </c>
      <c r="AR51" s="209">
        <v>223</v>
      </c>
      <c r="AS51" s="209">
        <v>107</v>
      </c>
      <c r="AT51" s="209">
        <v>44</v>
      </c>
      <c r="AU51" s="209">
        <v>44</v>
      </c>
      <c r="AV51" s="209">
        <v>41</v>
      </c>
      <c r="AW51" s="209">
        <v>37</v>
      </c>
      <c r="AX51" s="209">
        <v>31</v>
      </c>
      <c r="AY51" s="210">
        <v>19</v>
      </c>
    </row>
    <row r="52" spans="1:51" ht="12.75">
      <c r="A52" s="200"/>
      <c r="B52" s="368"/>
      <c r="C52" s="189" t="s">
        <v>381</v>
      </c>
      <c r="D52" s="198">
        <v>0</v>
      </c>
      <c r="E52" s="198">
        <v>45.689655172413794</v>
      </c>
      <c r="F52" s="198">
        <v>143.1034482758621</v>
      </c>
      <c r="G52" s="198">
        <v>268.1034482758621</v>
      </c>
      <c r="H52" s="198">
        <v>370.68965517241384</v>
      </c>
      <c r="I52" s="198">
        <v>425</v>
      </c>
      <c r="J52" s="198">
        <v>451.72413793103453</v>
      </c>
      <c r="K52" s="198">
        <v>425</v>
      </c>
      <c r="L52" s="198">
        <v>370.68965517241384</v>
      </c>
      <c r="M52" s="198">
        <v>268.1034482758621</v>
      </c>
      <c r="N52" s="198">
        <v>143.1034482758621</v>
      </c>
      <c r="O52" s="198">
        <v>45.689655172413794</v>
      </c>
      <c r="P52" s="199">
        <v>0</v>
      </c>
      <c r="Q52" s="200"/>
      <c r="R52" s="371"/>
      <c r="S52" s="206" t="s">
        <v>46</v>
      </c>
      <c r="T52" s="207">
        <f t="shared" si="12"/>
        <v>16.379310344827587</v>
      </c>
      <c r="U52" s="207">
        <f t="shared" si="0"/>
        <v>26.724137931034484</v>
      </c>
      <c r="V52" s="207">
        <f t="shared" si="1"/>
        <v>31.896551724137932</v>
      </c>
      <c r="W52" s="207">
        <f t="shared" si="2"/>
        <v>50.862068965517246</v>
      </c>
      <c r="X52" s="207">
        <f t="shared" si="3"/>
        <v>93.96551724137932</v>
      </c>
      <c r="Y52" s="207">
        <f t="shared" si="4"/>
        <v>118.96551724137932</v>
      </c>
      <c r="Z52" s="207">
        <f t="shared" si="5"/>
        <v>145.6896551724138</v>
      </c>
      <c r="AA52" s="207">
        <f t="shared" si="6"/>
        <v>118.96551724137932</v>
      </c>
      <c r="AB52" s="207">
        <f t="shared" si="7"/>
        <v>93.96551724137932</v>
      </c>
      <c r="AC52" s="207">
        <f t="shared" si="8"/>
        <v>50.862068965517246</v>
      </c>
      <c r="AD52" s="207">
        <f t="shared" si="9"/>
        <v>31.896551724137932</v>
      </c>
      <c r="AE52" s="207">
        <f t="shared" si="10"/>
        <v>26.724137931034484</v>
      </c>
      <c r="AF52" s="208">
        <f t="shared" si="11"/>
        <v>16.379310344827587</v>
      </c>
      <c r="AK52" s="371"/>
      <c r="AL52" s="206" t="s">
        <v>52</v>
      </c>
      <c r="AM52" s="209">
        <v>19</v>
      </c>
      <c r="AN52" s="209">
        <v>31</v>
      </c>
      <c r="AO52" s="209">
        <v>37</v>
      </c>
      <c r="AP52" s="209">
        <v>59</v>
      </c>
      <c r="AQ52" s="209">
        <v>109</v>
      </c>
      <c r="AR52" s="209">
        <v>138</v>
      </c>
      <c r="AS52" s="209">
        <v>169</v>
      </c>
      <c r="AT52" s="209">
        <v>138</v>
      </c>
      <c r="AU52" s="209">
        <v>109</v>
      </c>
      <c r="AV52" s="209">
        <v>59</v>
      </c>
      <c r="AW52" s="209">
        <v>37</v>
      </c>
      <c r="AX52" s="209">
        <v>31</v>
      </c>
      <c r="AY52" s="210">
        <v>19</v>
      </c>
    </row>
    <row r="53" spans="1:51" ht="12.75">
      <c r="A53" s="200"/>
      <c r="B53" s="368"/>
      <c r="C53" s="189" t="s">
        <v>379</v>
      </c>
      <c r="D53" s="198">
        <v>0</v>
      </c>
      <c r="E53" s="198">
        <v>31.896551724137932</v>
      </c>
      <c r="F53" s="198">
        <v>118.96551724137932</v>
      </c>
      <c r="G53" s="198">
        <v>218.96551724137933</v>
      </c>
      <c r="H53" s="198">
        <v>298.2758620689655</v>
      </c>
      <c r="I53" s="198">
        <v>330.1724137931035</v>
      </c>
      <c r="J53" s="198">
        <v>379.3103448275862</v>
      </c>
      <c r="K53" s="198">
        <v>330.1724137931035</v>
      </c>
      <c r="L53" s="198">
        <v>298.2758620689655</v>
      </c>
      <c r="M53" s="198">
        <v>218.96551724137933</v>
      </c>
      <c r="N53" s="198">
        <v>118.96551724137932</v>
      </c>
      <c r="O53" s="198">
        <v>31.896551724137932</v>
      </c>
      <c r="P53" s="199">
        <v>0</v>
      </c>
      <c r="Q53" s="200"/>
      <c r="R53" s="371"/>
      <c r="S53" s="206" t="s">
        <v>50</v>
      </c>
      <c r="T53" s="207">
        <f t="shared" si="12"/>
        <v>16.379310344827587</v>
      </c>
      <c r="U53" s="207">
        <f t="shared" si="0"/>
        <v>26.724137931034484</v>
      </c>
      <c r="V53" s="207">
        <f t="shared" si="1"/>
        <v>31.896551724137932</v>
      </c>
      <c r="W53" s="207">
        <f t="shared" si="2"/>
        <v>35.3448275862069</v>
      </c>
      <c r="X53" s="207">
        <f t="shared" si="3"/>
        <v>37.931034482758626</v>
      </c>
      <c r="Y53" s="207">
        <f t="shared" si="4"/>
        <v>37.931034482758626</v>
      </c>
      <c r="Z53" s="207">
        <f t="shared" si="5"/>
        <v>92.24137931034484</v>
      </c>
      <c r="AA53" s="207">
        <f t="shared" si="6"/>
        <v>192.24137931034485</v>
      </c>
      <c r="AB53" s="207">
        <f t="shared" si="7"/>
        <v>268.1034482758621</v>
      </c>
      <c r="AC53" s="207">
        <f t="shared" si="8"/>
        <v>300.86206896551727</v>
      </c>
      <c r="AD53" s="207">
        <f t="shared" si="9"/>
        <v>294.82758620689657</v>
      </c>
      <c r="AE53" s="207">
        <f t="shared" si="10"/>
        <v>237.93103448275863</v>
      </c>
      <c r="AF53" s="208">
        <f t="shared" si="11"/>
        <v>137.93103448275863</v>
      </c>
      <c r="AK53" s="371"/>
      <c r="AL53" s="206" t="s">
        <v>50</v>
      </c>
      <c r="AM53" s="209">
        <v>19</v>
      </c>
      <c r="AN53" s="209">
        <v>31</v>
      </c>
      <c r="AO53" s="209">
        <v>37</v>
      </c>
      <c r="AP53" s="209">
        <v>41</v>
      </c>
      <c r="AQ53" s="209">
        <v>44</v>
      </c>
      <c r="AR53" s="209">
        <v>44</v>
      </c>
      <c r="AS53" s="209">
        <v>107</v>
      </c>
      <c r="AT53" s="209">
        <v>223</v>
      </c>
      <c r="AU53" s="209">
        <v>311</v>
      </c>
      <c r="AV53" s="209">
        <v>349</v>
      </c>
      <c r="AW53" s="209">
        <v>342</v>
      </c>
      <c r="AX53" s="209">
        <v>276</v>
      </c>
      <c r="AY53" s="210">
        <v>160</v>
      </c>
    </row>
    <row r="54" spans="1:51" ht="12.75">
      <c r="A54" s="200"/>
      <c r="B54" s="368"/>
      <c r="C54" s="189" t="s">
        <v>377</v>
      </c>
      <c r="D54" s="198">
        <v>7.758620689655173</v>
      </c>
      <c r="E54" s="198">
        <v>20.689655172413794</v>
      </c>
      <c r="F54" s="198">
        <v>64.65517241379311</v>
      </c>
      <c r="G54" s="198">
        <v>137.93103448275863</v>
      </c>
      <c r="H54" s="198">
        <v>241.37931034482762</v>
      </c>
      <c r="I54" s="198">
        <v>262.93103448275866</v>
      </c>
      <c r="J54" s="198">
        <v>275.86206896551727</v>
      </c>
      <c r="K54" s="198">
        <v>262.93103448275866</v>
      </c>
      <c r="L54" s="198">
        <v>241.37931034482762</v>
      </c>
      <c r="M54" s="198">
        <v>137.93103448275863</v>
      </c>
      <c r="N54" s="198">
        <v>64.65517241379311</v>
      </c>
      <c r="O54" s="198">
        <v>20.689655172413794</v>
      </c>
      <c r="P54" s="199">
        <v>7.758620689655173</v>
      </c>
      <c r="Q54" s="200"/>
      <c r="R54" s="371"/>
      <c r="S54" s="206" t="s">
        <v>45</v>
      </c>
      <c r="T54" s="207">
        <f t="shared" si="12"/>
        <v>16.379310344827587</v>
      </c>
      <c r="U54" s="207">
        <f t="shared" si="0"/>
        <v>26.724137931034484</v>
      </c>
      <c r="V54" s="207">
        <f t="shared" si="1"/>
        <v>31.896551724137932</v>
      </c>
      <c r="W54" s="207">
        <f t="shared" si="2"/>
        <v>35.3448275862069</v>
      </c>
      <c r="X54" s="207">
        <f t="shared" si="3"/>
        <v>37.931034482758626</v>
      </c>
      <c r="Y54" s="207">
        <f t="shared" si="4"/>
        <v>37.931034482758626</v>
      </c>
      <c r="Z54" s="207">
        <f t="shared" si="5"/>
        <v>37.931034482758626</v>
      </c>
      <c r="AA54" s="207">
        <f t="shared" si="6"/>
        <v>118.96551724137932</v>
      </c>
      <c r="AB54" s="207">
        <f t="shared" si="7"/>
        <v>256.89655172413796</v>
      </c>
      <c r="AC54" s="207">
        <f t="shared" si="8"/>
        <v>385.3448275862069</v>
      </c>
      <c r="AD54" s="207">
        <f t="shared" si="9"/>
        <v>438.7931034482759</v>
      </c>
      <c r="AE54" s="207">
        <f t="shared" si="10"/>
        <v>436.2068965517242</v>
      </c>
      <c r="AF54" s="208">
        <f t="shared" si="11"/>
        <v>341.3793103448276</v>
      </c>
      <c r="AK54" s="371"/>
      <c r="AL54" s="206" t="s">
        <v>45</v>
      </c>
      <c r="AM54" s="209">
        <v>19</v>
      </c>
      <c r="AN54" s="209">
        <v>31</v>
      </c>
      <c r="AO54" s="209">
        <v>37</v>
      </c>
      <c r="AP54" s="209">
        <v>41</v>
      </c>
      <c r="AQ54" s="209">
        <v>44</v>
      </c>
      <c r="AR54" s="209">
        <v>44</v>
      </c>
      <c r="AS54" s="209">
        <v>44</v>
      </c>
      <c r="AT54" s="209">
        <v>138</v>
      </c>
      <c r="AU54" s="209">
        <v>298</v>
      </c>
      <c r="AV54" s="209">
        <v>447</v>
      </c>
      <c r="AW54" s="209">
        <v>509</v>
      </c>
      <c r="AX54" s="209">
        <v>506</v>
      </c>
      <c r="AY54" s="210">
        <v>396</v>
      </c>
    </row>
    <row r="55" spans="1:51" ht="12.75">
      <c r="A55" s="200"/>
      <c r="B55" s="368"/>
      <c r="C55" s="189" t="s">
        <v>376</v>
      </c>
      <c r="D55" s="198">
        <v>12.931034482758621</v>
      </c>
      <c r="E55" s="198">
        <v>26.724137931034484</v>
      </c>
      <c r="F55" s="198">
        <v>35.3448275862069</v>
      </c>
      <c r="G55" s="198">
        <v>69.82758620689656</v>
      </c>
      <c r="H55" s="198">
        <v>118.96551724137932</v>
      </c>
      <c r="I55" s="198">
        <v>169.82758620689657</v>
      </c>
      <c r="J55" s="198">
        <v>187.0689655172414</v>
      </c>
      <c r="K55" s="198">
        <v>169.82758620689657</v>
      </c>
      <c r="L55" s="198">
        <v>118.96551724137932</v>
      </c>
      <c r="M55" s="198">
        <v>69.82758620689656</v>
      </c>
      <c r="N55" s="198">
        <v>35.3448275862069</v>
      </c>
      <c r="O55" s="198">
        <v>26.724137931034484</v>
      </c>
      <c r="P55" s="199">
        <v>12.931034482758621</v>
      </c>
      <c r="Q55" s="200"/>
      <c r="R55" s="371"/>
      <c r="S55" s="206" t="s">
        <v>51</v>
      </c>
      <c r="T55" s="207">
        <f t="shared" si="12"/>
        <v>16.379310344827587</v>
      </c>
      <c r="U55" s="207">
        <f t="shared" si="0"/>
        <v>26.724137931034484</v>
      </c>
      <c r="V55" s="207">
        <f t="shared" si="1"/>
        <v>31.896551724137932</v>
      </c>
      <c r="W55" s="207">
        <f t="shared" si="2"/>
        <v>35.3448275862069</v>
      </c>
      <c r="X55" s="207">
        <f t="shared" si="3"/>
        <v>37.931034482758626</v>
      </c>
      <c r="Y55" s="207">
        <f t="shared" si="4"/>
        <v>37.931034482758626</v>
      </c>
      <c r="Z55" s="207">
        <f t="shared" si="5"/>
        <v>37.931034482758626</v>
      </c>
      <c r="AA55" s="207">
        <f t="shared" si="6"/>
        <v>37.931034482758626</v>
      </c>
      <c r="AB55" s="207">
        <f t="shared" si="7"/>
        <v>81.0344827586207</v>
      </c>
      <c r="AC55" s="207">
        <f t="shared" si="8"/>
        <v>198.27586206896552</v>
      </c>
      <c r="AD55" s="207">
        <f t="shared" si="9"/>
        <v>302.58620689655174</v>
      </c>
      <c r="AE55" s="207">
        <f t="shared" si="10"/>
        <v>360.3448275862069</v>
      </c>
      <c r="AF55" s="208">
        <f t="shared" si="11"/>
        <v>319.82758620689657</v>
      </c>
      <c r="AK55" s="371"/>
      <c r="AL55" s="206" t="s">
        <v>51</v>
      </c>
      <c r="AM55" s="209">
        <v>19</v>
      </c>
      <c r="AN55" s="209">
        <v>31</v>
      </c>
      <c r="AO55" s="209">
        <v>37</v>
      </c>
      <c r="AP55" s="209">
        <v>41</v>
      </c>
      <c r="AQ55" s="209">
        <v>44</v>
      </c>
      <c r="AR55" s="209">
        <v>44</v>
      </c>
      <c r="AS55" s="209">
        <v>44</v>
      </c>
      <c r="AT55" s="209">
        <v>44</v>
      </c>
      <c r="AU55" s="209">
        <v>94</v>
      </c>
      <c r="AV55" s="209">
        <v>230</v>
      </c>
      <c r="AW55" s="209">
        <v>351</v>
      </c>
      <c r="AX55" s="209">
        <v>418</v>
      </c>
      <c r="AY55" s="210">
        <v>371</v>
      </c>
    </row>
    <row r="56" spans="1:51" ht="13.5" thickBot="1">
      <c r="A56" s="200"/>
      <c r="B56" s="368"/>
      <c r="C56" s="189" t="s">
        <v>54</v>
      </c>
      <c r="D56" s="198">
        <v>16.379310344827587</v>
      </c>
      <c r="E56" s="198">
        <v>26.724137931034484</v>
      </c>
      <c r="F56" s="198">
        <v>31.896551724137932</v>
      </c>
      <c r="G56" s="198">
        <v>50.862068965517246</v>
      </c>
      <c r="H56" s="198">
        <v>93.96551724137932</v>
      </c>
      <c r="I56" s="198">
        <v>118.96551724137932</v>
      </c>
      <c r="J56" s="198">
        <v>145.6896551724138</v>
      </c>
      <c r="K56" s="198">
        <v>118.96551724137932</v>
      </c>
      <c r="L56" s="198">
        <v>93.96551724137932</v>
      </c>
      <c r="M56" s="198">
        <v>50.862068965517246</v>
      </c>
      <c r="N56" s="198">
        <v>31.896551724137932</v>
      </c>
      <c r="O56" s="198">
        <v>26.724137931034484</v>
      </c>
      <c r="P56" s="199">
        <v>16.379310344827587</v>
      </c>
      <c r="Q56" s="200"/>
      <c r="R56" s="372"/>
      <c r="S56" s="215" t="s">
        <v>53</v>
      </c>
      <c r="T56" s="216">
        <f t="shared" si="12"/>
        <v>83.62068965517241</v>
      </c>
      <c r="U56" s="216">
        <f t="shared" si="0"/>
        <v>222.41379310344828</v>
      </c>
      <c r="V56" s="216">
        <f t="shared" si="1"/>
        <v>362.93103448275866</v>
      </c>
      <c r="W56" s="216">
        <f t="shared" si="2"/>
        <v>485.3448275862069</v>
      </c>
      <c r="X56" s="216">
        <f t="shared" si="3"/>
        <v>568.9655172413793</v>
      </c>
      <c r="Y56" s="216">
        <f t="shared" si="4"/>
        <v>629.3103448275863</v>
      </c>
      <c r="Z56" s="216">
        <f t="shared" si="5"/>
        <v>642.2413793103449</v>
      </c>
      <c r="AA56" s="216">
        <f t="shared" si="6"/>
        <v>629.3103448275863</v>
      </c>
      <c r="AB56" s="216">
        <f t="shared" si="7"/>
        <v>568.9655172413793</v>
      </c>
      <c r="AC56" s="216">
        <f t="shared" si="8"/>
        <v>485.3448275862069</v>
      </c>
      <c r="AD56" s="216">
        <f t="shared" si="9"/>
        <v>362.93103448275866</v>
      </c>
      <c r="AE56" s="216">
        <f t="shared" si="10"/>
        <v>222.41379310344828</v>
      </c>
      <c r="AF56" s="217">
        <f t="shared" si="11"/>
        <v>83.62068965517241</v>
      </c>
      <c r="AK56" s="372"/>
      <c r="AL56" s="215" t="s">
        <v>53</v>
      </c>
      <c r="AM56" s="218">
        <v>97</v>
      </c>
      <c r="AN56" s="218">
        <v>258</v>
      </c>
      <c r="AO56" s="218">
        <v>421</v>
      </c>
      <c r="AP56" s="218">
        <v>563</v>
      </c>
      <c r="AQ56" s="218">
        <v>660</v>
      </c>
      <c r="AR56" s="218">
        <v>730</v>
      </c>
      <c r="AS56" s="218">
        <v>745</v>
      </c>
      <c r="AT56" s="218">
        <v>730</v>
      </c>
      <c r="AU56" s="218">
        <v>660</v>
      </c>
      <c r="AV56" s="218">
        <v>563</v>
      </c>
      <c r="AW56" s="218">
        <v>421</v>
      </c>
      <c r="AX56" s="218">
        <v>258</v>
      </c>
      <c r="AY56" s="219">
        <v>97</v>
      </c>
    </row>
    <row r="57" spans="1:51" ht="12.75" customHeight="1">
      <c r="A57" s="183"/>
      <c r="B57" s="368"/>
      <c r="C57" s="189" t="s">
        <v>374</v>
      </c>
      <c r="D57" s="198">
        <v>12.931034482758621</v>
      </c>
      <c r="E57" s="198">
        <v>26.724137931034484</v>
      </c>
      <c r="F57" s="198">
        <v>35.3448275862069</v>
      </c>
      <c r="G57" s="198">
        <v>69.82758620689656</v>
      </c>
      <c r="H57" s="198">
        <v>118.96551724137932</v>
      </c>
      <c r="I57" s="198">
        <v>169.82758620689657</v>
      </c>
      <c r="J57" s="198">
        <v>187.0689655172414</v>
      </c>
      <c r="K57" s="198">
        <v>169.82758620689657</v>
      </c>
      <c r="L57" s="198">
        <v>118.96551724137932</v>
      </c>
      <c r="M57" s="198">
        <v>69.82758620689656</v>
      </c>
      <c r="N57" s="198">
        <v>35.3448275862069</v>
      </c>
      <c r="O57" s="198">
        <v>26.724137931034484</v>
      </c>
      <c r="P57" s="199">
        <v>12.931034482758621</v>
      </c>
      <c r="Q57" s="183"/>
      <c r="R57" s="367" t="s">
        <v>374</v>
      </c>
      <c r="S57" s="184" t="s">
        <v>43</v>
      </c>
      <c r="T57" s="185">
        <f t="shared" si="12"/>
        <v>64.65517241379311</v>
      </c>
      <c r="U57" s="185">
        <f t="shared" si="0"/>
        <v>37.931034482758626</v>
      </c>
      <c r="V57" s="185">
        <f t="shared" si="1"/>
        <v>31.896551724137932</v>
      </c>
      <c r="W57" s="185">
        <f t="shared" si="2"/>
        <v>35.3448275862069</v>
      </c>
      <c r="X57" s="185">
        <f t="shared" si="3"/>
        <v>37.931034482758626</v>
      </c>
      <c r="Y57" s="185">
        <f t="shared" si="4"/>
        <v>37.931034482758626</v>
      </c>
      <c r="Z57" s="185">
        <f t="shared" si="5"/>
        <v>37.931034482758626</v>
      </c>
      <c r="AA57" s="185">
        <f t="shared" si="6"/>
        <v>37.931034482758626</v>
      </c>
      <c r="AB57" s="185">
        <f t="shared" si="7"/>
        <v>37.931034482758626</v>
      </c>
      <c r="AC57" s="185">
        <f t="shared" si="8"/>
        <v>35.3448275862069</v>
      </c>
      <c r="AD57" s="185">
        <f t="shared" si="9"/>
        <v>31.896551724137932</v>
      </c>
      <c r="AE57" s="185">
        <f t="shared" si="10"/>
        <v>37.931034482758626</v>
      </c>
      <c r="AF57" s="186">
        <f t="shared" si="11"/>
        <v>64.65517241379311</v>
      </c>
      <c r="AK57" s="367" t="s">
        <v>374</v>
      </c>
      <c r="AL57" s="184" t="s">
        <v>43</v>
      </c>
      <c r="AM57" s="187">
        <v>75</v>
      </c>
      <c r="AN57" s="187">
        <v>44</v>
      </c>
      <c r="AO57" s="187">
        <v>37</v>
      </c>
      <c r="AP57" s="187">
        <v>41</v>
      </c>
      <c r="AQ57" s="187">
        <v>44</v>
      </c>
      <c r="AR57" s="187">
        <v>44</v>
      </c>
      <c r="AS57" s="187">
        <v>44</v>
      </c>
      <c r="AT57" s="187">
        <v>44</v>
      </c>
      <c r="AU57" s="187">
        <v>44</v>
      </c>
      <c r="AV57" s="187">
        <v>41</v>
      </c>
      <c r="AW57" s="187">
        <v>37</v>
      </c>
      <c r="AX57" s="187">
        <v>44</v>
      </c>
      <c r="AY57" s="188">
        <v>75</v>
      </c>
    </row>
    <row r="58" spans="1:51" ht="12.75">
      <c r="A58" s="183"/>
      <c r="B58" s="368"/>
      <c r="C58" s="189" t="s">
        <v>375</v>
      </c>
      <c r="D58" s="198">
        <v>7.758620689655173</v>
      </c>
      <c r="E58" s="198">
        <v>20.689655172413794</v>
      </c>
      <c r="F58" s="198">
        <v>64.65517241379311</v>
      </c>
      <c r="G58" s="198">
        <v>137.93103448275863</v>
      </c>
      <c r="H58" s="198">
        <v>241.37931034482762</v>
      </c>
      <c r="I58" s="198">
        <v>262.93103448275866</v>
      </c>
      <c r="J58" s="198">
        <v>275.86206896551727</v>
      </c>
      <c r="K58" s="198">
        <v>262.93103448275866</v>
      </c>
      <c r="L58" s="198">
        <v>241.37931034482762</v>
      </c>
      <c r="M58" s="198">
        <v>137.93103448275863</v>
      </c>
      <c r="N58" s="198">
        <v>64.65517241379311</v>
      </c>
      <c r="O58" s="198">
        <v>20.689655172413794</v>
      </c>
      <c r="P58" s="199">
        <v>7.758620689655173</v>
      </c>
      <c r="Q58" s="183"/>
      <c r="R58" s="368"/>
      <c r="S58" s="189" t="s">
        <v>49</v>
      </c>
      <c r="T58" s="190">
        <f t="shared" si="12"/>
        <v>287.0689655172414</v>
      </c>
      <c r="U58" s="190">
        <f t="shared" si="0"/>
        <v>343.96551724137936</v>
      </c>
      <c r="V58" s="190">
        <f t="shared" si="1"/>
        <v>283.62068965517244</v>
      </c>
      <c r="W58" s="190">
        <f t="shared" si="2"/>
        <v>179.31034482758622</v>
      </c>
      <c r="X58" s="190">
        <f t="shared" si="3"/>
        <v>69.82758620689656</v>
      </c>
      <c r="Y58" s="190">
        <f t="shared" si="4"/>
        <v>37.931034482758626</v>
      </c>
      <c r="Z58" s="190">
        <f t="shared" si="5"/>
        <v>37.931034482758626</v>
      </c>
      <c r="AA58" s="190">
        <f t="shared" si="6"/>
        <v>37.931034482758626</v>
      </c>
      <c r="AB58" s="190">
        <f t="shared" si="7"/>
        <v>37.931034482758626</v>
      </c>
      <c r="AC58" s="190">
        <f t="shared" si="8"/>
        <v>35.3448275862069</v>
      </c>
      <c r="AD58" s="190">
        <f t="shared" si="9"/>
        <v>31.896551724137932</v>
      </c>
      <c r="AE58" s="190">
        <f t="shared" si="10"/>
        <v>26.724137931034484</v>
      </c>
      <c r="AF58" s="191">
        <f t="shared" si="11"/>
        <v>12.931034482758621</v>
      </c>
      <c r="AK58" s="368"/>
      <c r="AL58" s="189" t="s">
        <v>49</v>
      </c>
      <c r="AM58" s="11">
        <v>333</v>
      </c>
      <c r="AN58" s="11">
        <v>399</v>
      </c>
      <c r="AO58" s="11">
        <v>329</v>
      </c>
      <c r="AP58" s="11">
        <v>208</v>
      </c>
      <c r="AQ58" s="11">
        <v>81</v>
      </c>
      <c r="AR58" s="11">
        <v>44</v>
      </c>
      <c r="AS58" s="11">
        <v>44</v>
      </c>
      <c r="AT58" s="11">
        <v>44</v>
      </c>
      <c r="AU58" s="11">
        <v>44</v>
      </c>
      <c r="AV58" s="11">
        <v>41</v>
      </c>
      <c r="AW58" s="11">
        <v>37</v>
      </c>
      <c r="AX58" s="11">
        <v>31</v>
      </c>
      <c r="AY58" s="192">
        <v>15</v>
      </c>
    </row>
    <row r="59" spans="1:51" ht="12.75">
      <c r="A59" s="183"/>
      <c r="B59" s="368"/>
      <c r="C59" s="189" t="s">
        <v>378</v>
      </c>
      <c r="D59" s="190">
        <v>0</v>
      </c>
      <c r="E59" s="190">
        <v>31.896551724137932</v>
      </c>
      <c r="F59" s="190">
        <v>118.96551724137932</v>
      </c>
      <c r="G59" s="190">
        <v>218.96551724137933</v>
      </c>
      <c r="H59" s="190">
        <v>298.2758620689655</v>
      </c>
      <c r="I59" s="190">
        <v>330.1724137931035</v>
      </c>
      <c r="J59" s="190">
        <v>379.3103448275862</v>
      </c>
      <c r="K59" s="190">
        <v>330.1724137931035</v>
      </c>
      <c r="L59" s="190">
        <v>298.2758620689655</v>
      </c>
      <c r="M59" s="190">
        <v>218.96551724137933</v>
      </c>
      <c r="N59" s="190">
        <v>118.96551724137932</v>
      </c>
      <c r="O59" s="190">
        <v>31.896551724137932</v>
      </c>
      <c r="P59" s="191">
        <v>0</v>
      </c>
      <c r="Q59" s="183"/>
      <c r="R59" s="368"/>
      <c r="S59" s="189" t="s">
        <v>44</v>
      </c>
      <c r="T59" s="190">
        <f t="shared" si="12"/>
        <v>319.82758620689657</v>
      </c>
      <c r="U59" s="190">
        <f t="shared" si="0"/>
        <v>436.2068965517242</v>
      </c>
      <c r="V59" s="190">
        <f t="shared" si="1"/>
        <v>443.96551724137936</v>
      </c>
      <c r="W59" s="190">
        <f t="shared" si="2"/>
        <v>389.65517241379314</v>
      </c>
      <c r="X59" s="190">
        <f t="shared" si="3"/>
        <v>264.65517241379314</v>
      </c>
      <c r="Y59" s="190">
        <f t="shared" si="4"/>
        <v>116.37931034482759</v>
      </c>
      <c r="Z59" s="190">
        <f t="shared" si="5"/>
        <v>37.931034482758626</v>
      </c>
      <c r="AA59" s="190">
        <f t="shared" si="6"/>
        <v>37.931034482758626</v>
      </c>
      <c r="AB59" s="190">
        <f t="shared" si="7"/>
        <v>37.931034482758626</v>
      </c>
      <c r="AC59" s="190">
        <f t="shared" si="8"/>
        <v>35.3448275862069</v>
      </c>
      <c r="AD59" s="190">
        <f t="shared" si="9"/>
        <v>31.896551724137932</v>
      </c>
      <c r="AE59" s="190">
        <f t="shared" si="10"/>
        <v>26.724137931034484</v>
      </c>
      <c r="AF59" s="191">
        <f t="shared" si="11"/>
        <v>12.931034482758621</v>
      </c>
      <c r="AK59" s="368"/>
      <c r="AL59" s="189" t="s">
        <v>44</v>
      </c>
      <c r="AM59" s="11">
        <v>371</v>
      </c>
      <c r="AN59" s="11">
        <v>506</v>
      </c>
      <c r="AO59" s="11">
        <v>515</v>
      </c>
      <c r="AP59" s="11">
        <v>452</v>
      </c>
      <c r="AQ59" s="11">
        <v>307</v>
      </c>
      <c r="AR59" s="11">
        <v>135</v>
      </c>
      <c r="AS59" s="11">
        <v>44</v>
      </c>
      <c r="AT59" s="11">
        <v>44</v>
      </c>
      <c r="AU59" s="11">
        <v>44</v>
      </c>
      <c r="AV59" s="11">
        <v>41</v>
      </c>
      <c r="AW59" s="11">
        <v>37</v>
      </c>
      <c r="AX59" s="11">
        <v>31</v>
      </c>
      <c r="AY59" s="192">
        <v>15</v>
      </c>
    </row>
    <row r="60" spans="1:51" ht="12.75">
      <c r="A60" s="183"/>
      <c r="B60" s="368"/>
      <c r="C60" s="189" t="s">
        <v>380</v>
      </c>
      <c r="D60" s="190">
        <v>0</v>
      </c>
      <c r="E60" s="190">
        <v>45.689655172413794</v>
      </c>
      <c r="F60" s="190">
        <v>143.1034482758621</v>
      </c>
      <c r="G60" s="190">
        <v>268.1034482758621</v>
      </c>
      <c r="H60" s="190">
        <v>370.68965517241384</v>
      </c>
      <c r="I60" s="190">
        <v>425</v>
      </c>
      <c r="J60" s="190">
        <v>451.72413793103453</v>
      </c>
      <c r="K60" s="190">
        <v>425</v>
      </c>
      <c r="L60" s="190">
        <v>370.68965517241384</v>
      </c>
      <c r="M60" s="190">
        <v>268.1034482758621</v>
      </c>
      <c r="N60" s="190">
        <v>143.1034482758621</v>
      </c>
      <c r="O60" s="190">
        <v>45.689655172413794</v>
      </c>
      <c r="P60" s="191">
        <v>0</v>
      </c>
      <c r="Q60" s="183"/>
      <c r="R60" s="368"/>
      <c r="S60" s="189" t="s">
        <v>52</v>
      </c>
      <c r="T60" s="190">
        <f t="shared" si="12"/>
        <v>145.6896551724138</v>
      </c>
      <c r="U60" s="190">
        <f t="shared" si="0"/>
        <v>260.3448275862069</v>
      </c>
      <c r="V60" s="190">
        <f t="shared" si="1"/>
        <v>322.4137931034483</v>
      </c>
      <c r="W60" s="190">
        <f t="shared" si="2"/>
        <v>338.7931034482759</v>
      </c>
      <c r="X60" s="190">
        <f t="shared" si="3"/>
        <v>298.2758620689655</v>
      </c>
      <c r="Y60" s="190">
        <f t="shared" si="4"/>
        <v>222.41379310344828</v>
      </c>
      <c r="Z60" s="190">
        <f t="shared" si="5"/>
        <v>112.93103448275863</v>
      </c>
      <c r="AA60" s="190">
        <f t="shared" si="6"/>
        <v>39.6551724137931</v>
      </c>
      <c r="AB60" s="190">
        <f t="shared" si="7"/>
        <v>37.931034482758626</v>
      </c>
      <c r="AC60" s="190">
        <f t="shared" si="8"/>
        <v>35.3448275862069</v>
      </c>
      <c r="AD60" s="190">
        <f t="shared" si="9"/>
        <v>31.896551724137932</v>
      </c>
      <c r="AE60" s="190">
        <f t="shared" si="10"/>
        <v>26.724137931034484</v>
      </c>
      <c r="AF60" s="191">
        <f t="shared" si="11"/>
        <v>12.931034482758621</v>
      </c>
      <c r="AK60" s="368"/>
      <c r="AL60" s="189" t="s">
        <v>52</v>
      </c>
      <c r="AM60" s="11">
        <v>169</v>
      </c>
      <c r="AN60" s="11">
        <v>302</v>
      </c>
      <c r="AO60" s="11">
        <v>374</v>
      </c>
      <c r="AP60" s="11">
        <v>393</v>
      </c>
      <c r="AQ60" s="11">
        <v>346</v>
      </c>
      <c r="AR60" s="11">
        <v>258</v>
      </c>
      <c r="AS60" s="11">
        <v>131</v>
      </c>
      <c r="AT60" s="11">
        <v>46</v>
      </c>
      <c r="AU60" s="11">
        <v>44</v>
      </c>
      <c r="AV60" s="11">
        <v>41</v>
      </c>
      <c r="AW60" s="11">
        <v>37</v>
      </c>
      <c r="AX60" s="11">
        <v>31</v>
      </c>
      <c r="AY60" s="192">
        <v>15</v>
      </c>
    </row>
    <row r="61" spans="1:51" ht="12.75">
      <c r="A61" s="183"/>
      <c r="B61" s="368"/>
      <c r="C61" s="189" t="s">
        <v>382</v>
      </c>
      <c r="D61" s="190">
        <v>0</v>
      </c>
      <c r="E61" s="190">
        <v>0</v>
      </c>
      <c r="F61" s="190">
        <v>92.24137931034484</v>
      </c>
      <c r="G61" s="190">
        <v>188.79310344827587</v>
      </c>
      <c r="H61" s="190">
        <v>313.7931034482759</v>
      </c>
      <c r="I61" s="190">
        <v>387.0689655172414</v>
      </c>
      <c r="J61" s="190">
        <v>413.7931034482759</v>
      </c>
      <c r="K61" s="190">
        <v>387.0689655172414</v>
      </c>
      <c r="L61" s="190">
        <v>313.7931034482759</v>
      </c>
      <c r="M61" s="190">
        <v>188.79310344827587</v>
      </c>
      <c r="N61" s="190">
        <v>92.24137931034484</v>
      </c>
      <c r="O61" s="190">
        <v>0</v>
      </c>
      <c r="P61" s="191">
        <v>0</v>
      </c>
      <c r="Q61" s="183"/>
      <c r="R61" s="368"/>
      <c r="S61" s="189" t="s">
        <v>46</v>
      </c>
      <c r="T61" s="190">
        <f t="shared" si="12"/>
        <v>12.931034482758621</v>
      </c>
      <c r="U61" s="190">
        <f t="shared" si="0"/>
        <v>26.724137931034484</v>
      </c>
      <c r="V61" s="190">
        <f t="shared" si="1"/>
        <v>35.3448275862069</v>
      </c>
      <c r="W61" s="190">
        <f t="shared" si="2"/>
        <v>69.82758620689656</v>
      </c>
      <c r="X61" s="190">
        <f t="shared" si="3"/>
        <v>118.96551724137932</v>
      </c>
      <c r="Y61" s="190">
        <f t="shared" si="4"/>
        <v>169.82758620689657</v>
      </c>
      <c r="Z61" s="190">
        <f t="shared" si="5"/>
        <v>187.0689655172414</v>
      </c>
      <c r="AA61" s="190">
        <f t="shared" si="6"/>
        <v>169.82758620689657</v>
      </c>
      <c r="AB61" s="190">
        <f t="shared" si="7"/>
        <v>118.96551724137932</v>
      </c>
      <c r="AC61" s="190">
        <f t="shared" si="8"/>
        <v>69.82758620689656</v>
      </c>
      <c r="AD61" s="190">
        <f t="shared" si="9"/>
        <v>35.3448275862069</v>
      </c>
      <c r="AE61" s="190">
        <f t="shared" si="10"/>
        <v>26.724137931034484</v>
      </c>
      <c r="AF61" s="191">
        <f t="shared" si="11"/>
        <v>12.931034482758621</v>
      </c>
      <c r="AK61" s="368"/>
      <c r="AL61" s="189" t="s">
        <v>52</v>
      </c>
      <c r="AM61" s="11">
        <v>15</v>
      </c>
      <c r="AN61" s="11">
        <v>31</v>
      </c>
      <c r="AO61" s="11">
        <v>41</v>
      </c>
      <c r="AP61" s="11">
        <v>81</v>
      </c>
      <c r="AQ61" s="11">
        <v>138</v>
      </c>
      <c r="AR61" s="11">
        <v>197</v>
      </c>
      <c r="AS61" s="11">
        <v>217</v>
      </c>
      <c r="AT61" s="11">
        <v>197</v>
      </c>
      <c r="AU61" s="11">
        <v>138</v>
      </c>
      <c r="AV61" s="11">
        <v>81</v>
      </c>
      <c r="AW61" s="11">
        <v>41</v>
      </c>
      <c r="AX61" s="11">
        <v>31</v>
      </c>
      <c r="AY61" s="192">
        <v>15</v>
      </c>
    </row>
    <row r="62" spans="1:51" ht="13.5" thickBot="1">
      <c r="A62" s="183"/>
      <c r="B62" s="369"/>
      <c r="C62" s="193" t="s">
        <v>383</v>
      </c>
      <c r="D62" s="194">
        <v>0</v>
      </c>
      <c r="E62" s="194">
        <v>0</v>
      </c>
      <c r="F62" s="194">
        <v>0</v>
      </c>
      <c r="G62" s="194">
        <v>83.62068965517241</v>
      </c>
      <c r="H62" s="194">
        <v>268.1034482758621</v>
      </c>
      <c r="I62" s="194">
        <v>355.1724137931035</v>
      </c>
      <c r="J62" s="194">
        <v>381.89655172413796</v>
      </c>
      <c r="K62" s="194">
        <v>355.1724137931035</v>
      </c>
      <c r="L62" s="194">
        <v>268.1034482758621</v>
      </c>
      <c r="M62" s="194">
        <v>83.62068965517241</v>
      </c>
      <c r="N62" s="194">
        <v>0</v>
      </c>
      <c r="O62" s="194">
        <v>0</v>
      </c>
      <c r="P62" s="195">
        <v>0</v>
      </c>
      <c r="Q62" s="183"/>
      <c r="R62" s="368"/>
      <c r="S62" s="189" t="s">
        <v>50</v>
      </c>
      <c r="T62" s="190">
        <f t="shared" si="12"/>
        <v>12.931034482758621</v>
      </c>
      <c r="U62" s="190">
        <f t="shared" si="0"/>
        <v>26.724137931034484</v>
      </c>
      <c r="V62" s="190">
        <f t="shared" si="1"/>
        <v>31.896551724137932</v>
      </c>
      <c r="W62" s="190">
        <f t="shared" si="2"/>
        <v>35.3448275862069</v>
      </c>
      <c r="X62" s="190">
        <f t="shared" si="3"/>
        <v>37.931034482758626</v>
      </c>
      <c r="Y62" s="190">
        <f t="shared" si="4"/>
        <v>39.6551724137931</v>
      </c>
      <c r="Z62" s="190">
        <f t="shared" si="5"/>
        <v>112.93103448275863</v>
      </c>
      <c r="AA62" s="190">
        <f t="shared" si="6"/>
        <v>222.41379310344828</v>
      </c>
      <c r="AB62" s="190">
        <f t="shared" si="7"/>
        <v>298.2758620689655</v>
      </c>
      <c r="AC62" s="190">
        <f t="shared" si="8"/>
        <v>338.7931034482759</v>
      </c>
      <c r="AD62" s="190">
        <f t="shared" si="9"/>
        <v>322.4137931034483</v>
      </c>
      <c r="AE62" s="190">
        <f t="shared" si="10"/>
        <v>260.3448275862069</v>
      </c>
      <c r="AF62" s="191">
        <f t="shared" si="11"/>
        <v>146.55172413793105</v>
      </c>
      <c r="AK62" s="368"/>
      <c r="AL62" s="189" t="s">
        <v>50</v>
      </c>
      <c r="AM62" s="11">
        <v>15</v>
      </c>
      <c r="AN62" s="11">
        <v>31</v>
      </c>
      <c r="AO62" s="11">
        <v>37</v>
      </c>
      <c r="AP62" s="11">
        <v>41</v>
      </c>
      <c r="AQ62" s="11">
        <v>44</v>
      </c>
      <c r="AR62" s="11">
        <v>46</v>
      </c>
      <c r="AS62" s="11">
        <v>131</v>
      </c>
      <c r="AT62" s="11">
        <v>258</v>
      </c>
      <c r="AU62" s="11">
        <v>346</v>
      </c>
      <c r="AV62" s="11">
        <v>393</v>
      </c>
      <c r="AW62" s="11">
        <v>374</v>
      </c>
      <c r="AX62" s="11">
        <v>302</v>
      </c>
      <c r="AY62" s="192">
        <v>170</v>
      </c>
    </row>
    <row r="63" spans="1:51" ht="12.75">
      <c r="A63" s="183"/>
      <c r="B63" s="367" t="s">
        <v>406</v>
      </c>
      <c r="C63" s="184" t="s">
        <v>384</v>
      </c>
      <c r="D63" s="185">
        <v>0</v>
      </c>
      <c r="E63" s="185">
        <v>0</v>
      </c>
      <c r="F63" s="185">
        <v>1.7241379310344829</v>
      </c>
      <c r="G63" s="185">
        <v>10.344827586206897</v>
      </c>
      <c r="H63" s="185">
        <v>56.896551724137936</v>
      </c>
      <c r="I63" s="185">
        <v>181.0344827586207</v>
      </c>
      <c r="J63" s="185">
        <v>289.65517241379314</v>
      </c>
      <c r="K63" s="185">
        <v>343.96551724137936</v>
      </c>
      <c r="L63" s="185">
        <v>343.96551724137936</v>
      </c>
      <c r="M63" s="185">
        <v>256.89655172413796</v>
      </c>
      <c r="N63" s="185">
        <v>168.1034482758621</v>
      </c>
      <c r="O63" s="185">
        <v>0</v>
      </c>
      <c r="P63" s="186">
        <v>0</v>
      </c>
      <c r="Q63" s="183"/>
      <c r="R63" s="368"/>
      <c r="S63" s="189" t="s">
        <v>45</v>
      </c>
      <c r="T63" s="190">
        <f t="shared" si="12"/>
        <v>12.931034482758621</v>
      </c>
      <c r="U63" s="190">
        <f t="shared" si="0"/>
        <v>26.724137931034484</v>
      </c>
      <c r="V63" s="190">
        <f t="shared" si="1"/>
        <v>31.896551724137932</v>
      </c>
      <c r="W63" s="190">
        <f t="shared" si="2"/>
        <v>35.3448275862069</v>
      </c>
      <c r="X63" s="190">
        <f t="shared" si="3"/>
        <v>37.931034482758626</v>
      </c>
      <c r="Y63" s="190">
        <f t="shared" si="4"/>
        <v>37.931034482758626</v>
      </c>
      <c r="Z63" s="190">
        <f t="shared" si="5"/>
        <v>37.931034482758626</v>
      </c>
      <c r="AA63" s="190">
        <f t="shared" si="6"/>
        <v>116.37931034482759</v>
      </c>
      <c r="AB63" s="190">
        <f t="shared" si="7"/>
        <v>264.65517241379314</v>
      </c>
      <c r="AC63" s="190">
        <f t="shared" si="8"/>
        <v>389.65517241379314</v>
      </c>
      <c r="AD63" s="190">
        <f t="shared" si="9"/>
        <v>443.96551724137936</v>
      </c>
      <c r="AE63" s="190">
        <f t="shared" si="10"/>
        <v>436.2068965517242</v>
      </c>
      <c r="AF63" s="191">
        <f t="shared" si="11"/>
        <v>319.82758620689657</v>
      </c>
      <c r="AK63" s="368"/>
      <c r="AL63" s="189" t="s">
        <v>45</v>
      </c>
      <c r="AM63" s="11">
        <v>15</v>
      </c>
      <c r="AN63" s="11">
        <v>31</v>
      </c>
      <c r="AO63" s="11">
        <v>37</v>
      </c>
      <c r="AP63" s="11">
        <v>41</v>
      </c>
      <c r="AQ63" s="11">
        <v>44</v>
      </c>
      <c r="AR63" s="11">
        <v>44</v>
      </c>
      <c r="AS63" s="11">
        <v>44</v>
      </c>
      <c r="AT63" s="11">
        <v>135</v>
      </c>
      <c r="AU63" s="11">
        <v>307</v>
      </c>
      <c r="AV63" s="11">
        <v>452</v>
      </c>
      <c r="AW63" s="11">
        <v>515</v>
      </c>
      <c r="AX63" s="11">
        <v>506</v>
      </c>
      <c r="AY63" s="192">
        <v>371</v>
      </c>
    </row>
    <row r="64" spans="1:51" ht="12.75">
      <c r="A64" s="183"/>
      <c r="B64" s="368"/>
      <c r="C64" s="189" t="s">
        <v>381</v>
      </c>
      <c r="D64" s="190">
        <v>0</v>
      </c>
      <c r="E64" s="190">
        <v>0</v>
      </c>
      <c r="F64" s="190">
        <v>10.344827586206897</v>
      </c>
      <c r="G64" s="190">
        <v>18.965517241379313</v>
      </c>
      <c r="H64" s="190">
        <v>64.65517241379311</v>
      </c>
      <c r="I64" s="190">
        <v>187.0689655172414</v>
      </c>
      <c r="J64" s="190">
        <v>311.2068965517242</v>
      </c>
      <c r="K64" s="190">
        <v>389.65517241379314</v>
      </c>
      <c r="L64" s="190">
        <v>425</v>
      </c>
      <c r="M64" s="190">
        <v>393.1034482758621</v>
      </c>
      <c r="N64" s="190">
        <v>300.86206896551727</v>
      </c>
      <c r="O64" s="190">
        <v>187.0689655172414</v>
      </c>
      <c r="P64" s="191">
        <v>0</v>
      </c>
      <c r="Q64" s="183"/>
      <c r="R64" s="368"/>
      <c r="S64" s="189" t="s">
        <v>51</v>
      </c>
      <c r="T64" s="190">
        <f t="shared" si="12"/>
        <v>12.931034482758621</v>
      </c>
      <c r="U64" s="190">
        <f t="shared" si="0"/>
        <v>26.724137931034484</v>
      </c>
      <c r="V64" s="190">
        <f t="shared" si="1"/>
        <v>31.896551724137932</v>
      </c>
      <c r="W64" s="190">
        <f t="shared" si="2"/>
        <v>35.3448275862069</v>
      </c>
      <c r="X64" s="190">
        <f t="shared" si="3"/>
        <v>37.931034482758626</v>
      </c>
      <c r="Y64" s="190">
        <f t="shared" si="4"/>
        <v>37.931034482758626</v>
      </c>
      <c r="Z64" s="190">
        <f t="shared" si="5"/>
        <v>37.931034482758626</v>
      </c>
      <c r="AA64" s="190">
        <f t="shared" si="6"/>
        <v>37.931034482758626</v>
      </c>
      <c r="AB64" s="190">
        <f t="shared" si="7"/>
        <v>69.82758620689656</v>
      </c>
      <c r="AC64" s="190">
        <f t="shared" si="8"/>
        <v>179.31034482758622</v>
      </c>
      <c r="AD64" s="190">
        <f t="shared" si="9"/>
        <v>283.62068965517244</v>
      </c>
      <c r="AE64" s="190">
        <f t="shared" si="10"/>
        <v>343.96551724137936</v>
      </c>
      <c r="AF64" s="191">
        <f t="shared" si="11"/>
        <v>287.0689655172414</v>
      </c>
      <c r="AK64" s="368"/>
      <c r="AL64" s="189" t="s">
        <v>51</v>
      </c>
      <c r="AM64" s="11">
        <v>15</v>
      </c>
      <c r="AN64" s="11">
        <v>31</v>
      </c>
      <c r="AO64" s="11">
        <v>37</v>
      </c>
      <c r="AP64" s="11">
        <v>41</v>
      </c>
      <c r="AQ64" s="11">
        <v>44</v>
      </c>
      <c r="AR64" s="11">
        <v>44</v>
      </c>
      <c r="AS64" s="11">
        <v>44</v>
      </c>
      <c r="AT64" s="11">
        <v>44</v>
      </c>
      <c r="AU64" s="11">
        <v>81</v>
      </c>
      <c r="AV64" s="11">
        <v>208</v>
      </c>
      <c r="AW64" s="11">
        <v>329</v>
      </c>
      <c r="AX64" s="11">
        <v>399</v>
      </c>
      <c r="AY64" s="192">
        <v>333</v>
      </c>
    </row>
    <row r="65" spans="1:51" ht="13.5" thickBot="1">
      <c r="A65" s="183"/>
      <c r="B65" s="368"/>
      <c r="C65" s="189" t="s">
        <v>379</v>
      </c>
      <c r="D65" s="190">
        <v>0</v>
      </c>
      <c r="E65" s="190">
        <v>12.931034482758621</v>
      </c>
      <c r="F65" s="190">
        <v>24.13793103448276</v>
      </c>
      <c r="G65" s="190">
        <v>31.896551724137932</v>
      </c>
      <c r="H65" s="190">
        <v>37.931034482758626</v>
      </c>
      <c r="I65" s="190">
        <v>111.20689655172414</v>
      </c>
      <c r="J65" s="190">
        <v>243.96551724137933</v>
      </c>
      <c r="K65" s="190">
        <v>360.3448275862069</v>
      </c>
      <c r="L65" s="190">
        <v>425</v>
      </c>
      <c r="M65" s="190">
        <v>438.7931034482759</v>
      </c>
      <c r="N65" s="190">
        <v>389.65517241379314</v>
      </c>
      <c r="O65" s="190">
        <v>256.89655172413796</v>
      </c>
      <c r="P65" s="191">
        <v>0</v>
      </c>
      <c r="Q65" s="183"/>
      <c r="R65" s="369"/>
      <c r="S65" s="193" t="s">
        <v>53</v>
      </c>
      <c r="T65" s="194">
        <f t="shared" si="12"/>
        <v>64.65517241379311</v>
      </c>
      <c r="U65" s="194">
        <f t="shared" si="0"/>
        <v>198.27586206896552</v>
      </c>
      <c r="V65" s="194">
        <f t="shared" si="1"/>
        <v>341.3793103448276</v>
      </c>
      <c r="W65" s="194">
        <f t="shared" si="2"/>
        <v>462.93103448275866</v>
      </c>
      <c r="X65" s="194">
        <f t="shared" si="3"/>
        <v>550</v>
      </c>
      <c r="Y65" s="194">
        <f t="shared" si="4"/>
        <v>610.344827586207</v>
      </c>
      <c r="Z65" s="194">
        <f t="shared" si="5"/>
        <v>631.0344827586207</v>
      </c>
      <c r="AA65" s="194">
        <f t="shared" si="6"/>
        <v>610.344827586207</v>
      </c>
      <c r="AB65" s="194">
        <f t="shared" si="7"/>
        <v>550</v>
      </c>
      <c r="AC65" s="194">
        <f t="shared" si="8"/>
        <v>462.93103448275866</v>
      </c>
      <c r="AD65" s="194">
        <f t="shared" si="9"/>
        <v>341.3793103448276</v>
      </c>
      <c r="AE65" s="194">
        <f t="shared" si="10"/>
        <v>198.27586206896552</v>
      </c>
      <c r="AF65" s="195">
        <f t="shared" si="11"/>
        <v>64.65517241379311</v>
      </c>
      <c r="AK65" s="369"/>
      <c r="AL65" s="193" t="s">
        <v>53</v>
      </c>
      <c r="AM65" s="196">
        <v>75</v>
      </c>
      <c r="AN65" s="196">
        <v>230</v>
      </c>
      <c r="AO65" s="196">
        <v>396</v>
      </c>
      <c r="AP65" s="196">
        <v>537</v>
      </c>
      <c r="AQ65" s="196">
        <v>638</v>
      </c>
      <c r="AR65" s="196">
        <v>708</v>
      </c>
      <c r="AS65" s="196">
        <v>732</v>
      </c>
      <c r="AT65" s="196">
        <v>708</v>
      </c>
      <c r="AU65" s="196">
        <v>638</v>
      </c>
      <c r="AV65" s="196">
        <v>537</v>
      </c>
      <c r="AW65" s="196">
        <v>396</v>
      </c>
      <c r="AX65" s="196">
        <v>230</v>
      </c>
      <c r="AY65" s="197">
        <v>75</v>
      </c>
    </row>
    <row r="66" spans="1:51" ht="12.75" customHeight="1">
      <c r="A66" s="183"/>
      <c r="B66" s="368"/>
      <c r="C66" s="189" t="s">
        <v>377</v>
      </c>
      <c r="D66" s="190">
        <v>7.758620689655173</v>
      </c>
      <c r="E66" s="190">
        <v>20.689655172413794</v>
      </c>
      <c r="F66" s="190">
        <v>31.896551724137932</v>
      </c>
      <c r="G66" s="190">
        <v>35.3448275862069</v>
      </c>
      <c r="H66" s="190">
        <v>37.931034482758626</v>
      </c>
      <c r="I66" s="190">
        <v>67.24137931034483</v>
      </c>
      <c r="J66" s="190">
        <v>179.31034482758622</v>
      </c>
      <c r="K66" s="190">
        <v>289.65517241379314</v>
      </c>
      <c r="L66" s="190">
        <v>376.72413793103453</v>
      </c>
      <c r="M66" s="190">
        <v>395.68965517241384</v>
      </c>
      <c r="N66" s="190">
        <v>374.1379310344828</v>
      </c>
      <c r="O66" s="190">
        <v>283.62068965517244</v>
      </c>
      <c r="P66" s="191">
        <v>130.17241379310346</v>
      </c>
      <c r="Q66" s="183"/>
      <c r="R66" s="367" t="s">
        <v>375</v>
      </c>
      <c r="S66" s="184" t="s">
        <v>43</v>
      </c>
      <c r="T66" s="185">
        <f t="shared" si="12"/>
        <v>18.965517241379313</v>
      </c>
      <c r="U66" s="185">
        <f t="shared" si="0"/>
        <v>20.689655172413794</v>
      </c>
      <c r="V66" s="185">
        <f t="shared" si="1"/>
        <v>29.31034482758621</v>
      </c>
      <c r="W66" s="185">
        <f t="shared" si="2"/>
        <v>35.3448275862069</v>
      </c>
      <c r="X66" s="185">
        <f t="shared" si="3"/>
        <v>37.931034482758626</v>
      </c>
      <c r="Y66" s="185">
        <f t="shared" si="4"/>
        <v>37.931034482758626</v>
      </c>
      <c r="Z66" s="185">
        <f t="shared" si="5"/>
        <v>37.931034482758626</v>
      </c>
      <c r="AA66" s="185">
        <f t="shared" si="6"/>
        <v>37.931034482758626</v>
      </c>
      <c r="AB66" s="185">
        <f t="shared" si="7"/>
        <v>37.931034482758626</v>
      </c>
      <c r="AC66" s="185">
        <f t="shared" si="8"/>
        <v>35.3448275862069</v>
      </c>
      <c r="AD66" s="185">
        <f t="shared" si="9"/>
        <v>29.31034482758621</v>
      </c>
      <c r="AE66" s="185">
        <f t="shared" si="10"/>
        <v>20.689655172413794</v>
      </c>
      <c r="AF66" s="186">
        <f t="shared" si="11"/>
        <v>18.965517241379313</v>
      </c>
      <c r="AK66" s="367" t="s">
        <v>375</v>
      </c>
      <c r="AL66" s="184" t="s">
        <v>43</v>
      </c>
      <c r="AM66" s="187">
        <v>22</v>
      </c>
      <c r="AN66" s="187">
        <v>24</v>
      </c>
      <c r="AO66" s="187">
        <v>34</v>
      </c>
      <c r="AP66" s="187">
        <v>41</v>
      </c>
      <c r="AQ66" s="187">
        <v>44</v>
      </c>
      <c r="AR66" s="187">
        <v>44</v>
      </c>
      <c r="AS66" s="187">
        <v>44</v>
      </c>
      <c r="AT66" s="187">
        <v>44</v>
      </c>
      <c r="AU66" s="187">
        <v>44</v>
      </c>
      <c r="AV66" s="187">
        <v>41</v>
      </c>
      <c r="AW66" s="187">
        <v>34</v>
      </c>
      <c r="AX66" s="187">
        <v>24</v>
      </c>
      <c r="AY66" s="188">
        <v>22</v>
      </c>
    </row>
    <row r="67" spans="1:51" ht="12.75">
      <c r="A67" s="183"/>
      <c r="B67" s="368"/>
      <c r="C67" s="189" t="s">
        <v>376</v>
      </c>
      <c r="D67" s="190">
        <v>12.931034482758621</v>
      </c>
      <c r="E67" s="190">
        <v>26.724137931034484</v>
      </c>
      <c r="F67" s="190">
        <v>31.896551724137932</v>
      </c>
      <c r="G67" s="190">
        <v>35.3448275862069</v>
      </c>
      <c r="H67" s="190">
        <v>37.931034482758626</v>
      </c>
      <c r="I67" s="190">
        <v>39.6551724137931</v>
      </c>
      <c r="J67" s="190">
        <v>112.93103448275863</v>
      </c>
      <c r="K67" s="190">
        <v>222.41379310344828</v>
      </c>
      <c r="L67" s="190">
        <v>298.2758620689655</v>
      </c>
      <c r="M67" s="190">
        <v>338.7931034482759</v>
      </c>
      <c r="N67" s="190">
        <v>322.4137931034483</v>
      </c>
      <c r="O67" s="190">
        <v>260.3448275862069</v>
      </c>
      <c r="P67" s="191">
        <v>146.55172413793105</v>
      </c>
      <c r="Q67" s="183"/>
      <c r="R67" s="368"/>
      <c r="S67" s="189" t="s">
        <v>49</v>
      </c>
      <c r="T67" s="190">
        <f t="shared" si="12"/>
        <v>183.6206896551724</v>
      </c>
      <c r="U67" s="190">
        <f aca="true" t="shared" si="13" ref="U67:U110">+AN67/1.16</f>
        <v>275.86206896551727</v>
      </c>
      <c r="V67" s="190">
        <f aca="true" t="shared" si="14" ref="V67:V110">+AO67/1.16</f>
        <v>222.41379310344828</v>
      </c>
      <c r="W67" s="190">
        <f aca="true" t="shared" si="15" ref="W67:W110">+AP67/1.16</f>
        <v>124.13793103448276</v>
      </c>
      <c r="X67" s="190">
        <f aca="true" t="shared" si="16" ref="X67:X110">+AQ67/1.16</f>
        <v>43.10344827586207</v>
      </c>
      <c r="Y67" s="190">
        <f aca="true" t="shared" si="17" ref="Y67:Y110">+AR67/1.16</f>
        <v>37.931034482758626</v>
      </c>
      <c r="Z67" s="190">
        <f aca="true" t="shared" si="18" ref="Z67:Z110">+AS67/1.16</f>
        <v>37.931034482758626</v>
      </c>
      <c r="AA67" s="190">
        <f aca="true" t="shared" si="19" ref="AA67:AA110">+AT67/1.16</f>
        <v>37.931034482758626</v>
      </c>
      <c r="AB67" s="190">
        <f aca="true" t="shared" si="20" ref="AB67:AB110">+AU67/1.16</f>
        <v>37.931034482758626</v>
      </c>
      <c r="AC67" s="190">
        <f aca="true" t="shared" si="21" ref="AC67:AC110">+AV67/1.16</f>
        <v>35.3448275862069</v>
      </c>
      <c r="AD67" s="190">
        <f aca="true" t="shared" si="22" ref="AD67:AD110">+AW67/1.16</f>
        <v>29.31034482758621</v>
      </c>
      <c r="AE67" s="190">
        <f aca="true" t="shared" si="23" ref="AE67:AE110">+AX67/1.16</f>
        <v>20.689655172413794</v>
      </c>
      <c r="AF67" s="191">
        <f aca="true" t="shared" si="24" ref="AF67:AF110">+AY67/1.16</f>
        <v>7.758620689655173</v>
      </c>
      <c r="AK67" s="368"/>
      <c r="AL67" s="189" t="s">
        <v>49</v>
      </c>
      <c r="AM67" s="11">
        <v>213</v>
      </c>
      <c r="AN67" s="11">
        <v>320</v>
      </c>
      <c r="AO67" s="11">
        <v>258</v>
      </c>
      <c r="AP67" s="11">
        <v>144</v>
      </c>
      <c r="AQ67" s="11">
        <v>50</v>
      </c>
      <c r="AR67" s="11">
        <v>44</v>
      </c>
      <c r="AS67" s="11">
        <v>44</v>
      </c>
      <c r="AT67" s="11">
        <v>44</v>
      </c>
      <c r="AU67" s="11">
        <v>44</v>
      </c>
      <c r="AV67" s="11">
        <v>41</v>
      </c>
      <c r="AW67" s="11">
        <v>34</v>
      </c>
      <c r="AX67" s="11">
        <v>24</v>
      </c>
      <c r="AY67" s="192">
        <v>9</v>
      </c>
    </row>
    <row r="68" spans="1:51" ht="12.75">
      <c r="A68" s="183"/>
      <c r="B68" s="368"/>
      <c r="C68" s="189" t="s">
        <v>54</v>
      </c>
      <c r="D68" s="190">
        <v>16.379310344827587</v>
      </c>
      <c r="E68" s="190">
        <v>26.724137931034484</v>
      </c>
      <c r="F68" s="190">
        <v>31.896551724137932</v>
      </c>
      <c r="G68" s="190">
        <v>35.3448275862069</v>
      </c>
      <c r="H68" s="190">
        <v>37.931034482758626</v>
      </c>
      <c r="I68" s="190">
        <v>37.931034482758626</v>
      </c>
      <c r="J68" s="190">
        <v>92.24137931034484</v>
      </c>
      <c r="K68" s="190">
        <v>192.24137931034485</v>
      </c>
      <c r="L68" s="190">
        <v>268.1034482758621</v>
      </c>
      <c r="M68" s="190">
        <v>300.86206896551727</v>
      </c>
      <c r="N68" s="190">
        <v>294.82758620689657</v>
      </c>
      <c r="O68" s="190">
        <v>237.93103448275863</v>
      </c>
      <c r="P68" s="191">
        <v>137.93103448275863</v>
      </c>
      <c r="Q68" s="183"/>
      <c r="R68" s="368"/>
      <c r="S68" s="189" t="s">
        <v>44</v>
      </c>
      <c r="T68" s="190">
        <f aca="true" t="shared" si="25" ref="T68:T110">+AM68/1.16</f>
        <v>226.7241379310345</v>
      </c>
      <c r="U68" s="190">
        <f t="shared" si="13"/>
        <v>398.2758620689655</v>
      </c>
      <c r="V68" s="190">
        <f t="shared" si="14"/>
        <v>438.7931034482759</v>
      </c>
      <c r="W68" s="190">
        <f t="shared" si="15"/>
        <v>393.1034482758621</v>
      </c>
      <c r="X68" s="190">
        <f t="shared" si="16"/>
        <v>273.2758620689655</v>
      </c>
      <c r="Y68" s="190">
        <f t="shared" si="17"/>
        <v>122.41379310344828</v>
      </c>
      <c r="Z68" s="190">
        <f t="shared" si="18"/>
        <v>37.931034482758626</v>
      </c>
      <c r="AA68" s="190">
        <f t="shared" si="19"/>
        <v>37.931034482758626</v>
      </c>
      <c r="AB68" s="190">
        <f t="shared" si="20"/>
        <v>37.931034482758626</v>
      </c>
      <c r="AC68" s="190">
        <f t="shared" si="21"/>
        <v>35.3448275862069</v>
      </c>
      <c r="AD68" s="190">
        <f t="shared" si="22"/>
        <v>29.31034482758621</v>
      </c>
      <c r="AE68" s="190">
        <f t="shared" si="23"/>
        <v>20.689655172413794</v>
      </c>
      <c r="AF68" s="191">
        <f t="shared" si="24"/>
        <v>7.758620689655173</v>
      </c>
      <c r="AK68" s="368"/>
      <c r="AL68" s="189" t="s">
        <v>44</v>
      </c>
      <c r="AM68" s="11">
        <v>263</v>
      </c>
      <c r="AN68" s="11">
        <v>462</v>
      </c>
      <c r="AO68" s="11">
        <v>509</v>
      </c>
      <c r="AP68" s="11">
        <v>456</v>
      </c>
      <c r="AQ68" s="11">
        <v>317</v>
      </c>
      <c r="AR68" s="11">
        <v>142</v>
      </c>
      <c r="AS68" s="11">
        <v>44</v>
      </c>
      <c r="AT68" s="11">
        <v>44</v>
      </c>
      <c r="AU68" s="11">
        <v>44</v>
      </c>
      <c r="AV68" s="11">
        <v>41</v>
      </c>
      <c r="AW68" s="11">
        <v>34</v>
      </c>
      <c r="AX68" s="11">
        <v>24</v>
      </c>
      <c r="AY68" s="192">
        <v>9</v>
      </c>
    </row>
    <row r="69" spans="1:51" ht="12.75">
      <c r="A69" s="183"/>
      <c r="B69" s="368"/>
      <c r="C69" s="189" t="s">
        <v>374</v>
      </c>
      <c r="D69" s="190">
        <v>12.931034482758621</v>
      </c>
      <c r="E69" s="190">
        <v>26.724137931034484</v>
      </c>
      <c r="F69" s="190">
        <v>31.896551724137932</v>
      </c>
      <c r="G69" s="190">
        <v>35.3448275862069</v>
      </c>
      <c r="H69" s="190">
        <v>37.931034482758626</v>
      </c>
      <c r="I69" s="190">
        <v>39.6551724137931</v>
      </c>
      <c r="J69" s="190">
        <v>112.93103448275863</v>
      </c>
      <c r="K69" s="190">
        <v>222.41379310344828</v>
      </c>
      <c r="L69" s="190">
        <v>298.2758620689655</v>
      </c>
      <c r="M69" s="190">
        <v>338.7931034482759</v>
      </c>
      <c r="N69" s="190">
        <v>322.4137931034483</v>
      </c>
      <c r="O69" s="190">
        <v>260.3448275862069</v>
      </c>
      <c r="P69" s="191">
        <v>146.55172413793105</v>
      </c>
      <c r="Q69" s="183"/>
      <c r="R69" s="368"/>
      <c r="S69" s="189" t="s">
        <v>52</v>
      </c>
      <c r="T69" s="190">
        <f t="shared" si="25"/>
        <v>130.17241379310346</v>
      </c>
      <c r="U69" s="190">
        <f t="shared" si="13"/>
        <v>283.62068965517244</v>
      </c>
      <c r="V69" s="190">
        <f t="shared" si="14"/>
        <v>374.1379310344828</v>
      </c>
      <c r="W69" s="190">
        <f t="shared" si="15"/>
        <v>395.68965517241384</v>
      </c>
      <c r="X69" s="190">
        <f t="shared" si="16"/>
        <v>376.72413793103453</v>
      </c>
      <c r="Y69" s="190">
        <f t="shared" si="17"/>
        <v>289.65517241379314</v>
      </c>
      <c r="Z69" s="190">
        <f t="shared" si="18"/>
        <v>179.31034482758622</v>
      </c>
      <c r="AA69" s="190">
        <f t="shared" si="19"/>
        <v>67.24137931034483</v>
      </c>
      <c r="AB69" s="190">
        <f t="shared" si="20"/>
        <v>37.931034482758626</v>
      </c>
      <c r="AC69" s="190">
        <f t="shared" si="21"/>
        <v>35.3448275862069</v>
      </c>
      <c r="AD69" s="190">
        <f t="shared" si="22"/>
        <v>31.896551724137932</v>
      </c>
      <c r="AE69" s="190">
        <f t="shared" si="23"/>
        <v>20.689655172413794</v>
      </c>
      <c r="AF69" s="191">
        <f t="shared" si="24"/>
        <v>7.758620689655173</v>
      </c>
      <c r="AK69" s="368"/>
      <c r="AL69" s="189" t="s">
        <v>52</v>
      </c>
      <c r="AM69" s="11">
        <v>151</v>
      </c>
      <c r="AN69" s="11">
        <v>329</v>
      </c>
      <c r="AO69" s="11">
        <v>434</v>
      </c>
      <c r="AP69" s="11">
        <v>459</v>
      </c>
      <c r="AQ69" s="11">
        <v>437</v>
      </c>
      <c r="AR69" s="11">
        <v>336</v>
      </c>
      <c r="AS69" s="11">
        <v>208</v>
      </c>
      <c r="AT69" s="11">
        <v>78</v>
      </c>
      <c r="AU69" s="11">
        <v>44</v>
      </c>
      <c r="AV69" s="11">
        <v>41</v>
      </c>
      <c r="AW69" s="11">
        <v>37</v>
      </c>
      <c r="AX69" s="11">
        <v>24</v>
      </c>
      <c r="AY69" s="192">
        <v>9</v>
      </c>
    </row>
    <row r="70" spans="1:51" ht="12.75">
      <c r="A70" s="183"/>
      <c r="B70" s="368"/>
      <c r="C70" s="189" t="s">
        <v>375</v>
      </c>
      <c r="D70" s="190">
        <v>7.758620689655173</v>
      </c>
      <c r="E70" s="190">
        <v>20.689655172413794</v>
      </c>
      <c r="F70" s="190">
        <v>31.896551724137932</v>
      </c>
      <c r="G70" s="190">
        <v>35.3448275862069</v>
      </c>
      <c r="H70" s="190">
        <v>37.931034482758626</v>
      </c>
      <c r="I70" s="190">
        <v>67.24137931034483</v>
      </c>
      <c r="J70" s="190">
        <v>179.31034482758622</v>
      </c>
      <c r="K70" s="190">
        <v>289.65517241379314</v>
      </c>
      <c r="L70" s="190">
        <v>376.72413793103453</v>
      </c>
      <c r="M70" s="190">
        <v>395.68965517241384</v>
      </c>
      <c r="N70" s="190">
        <v>374.1379310344828</v>
      </c>
      <c r="O70" s="190">
        <v>283.62068965517244</v>
      </c>
      <c r="P70" s="191">
        <v>130.17241379310346</v>
      </c>
      <c r="Q70" s="183"/>
      <c r="R70" s="368"/>
      <c r="S70" s="189" t="s">
        <v>46</v>
      </c>
      <c r="T70" s="190">
        <f t="shared" si="25"/>
        <v>7.758620689655173</v>
      </c>
      <c r="U70" s="190">
        <f t="shared" si="13"/>
        <v>20.689655172413794</v>
      </c>
      <c r="V70" s="190">
        <f t="shared" si="14"/>
        <v>64.65517241379311</v>
      </c>
      <c r="W70" s="190">
        <f t="shared" si="15"/>
        <v>137.93103448275863</v>
      </c>
      <c r="X70" s="190">
        <f t="shared" si="16"/>
        <v>241.37931034482762</v>
      </c>
      <c r="Y70" s="190">
        <f t="shared" si="17"/>
        <v>262.93103448275866</v>
      </c>
      <c r="Z70" s="190">
        <f t="shared" si="18"/>
        <v>275.86206896551727</v>
      </c>
      <c r="AA70" s="190">
        <f t="shared" si="19"/>
        <v>262.93103448275866</v>
      </c>
      <c r="AB70" s="190">
        <f t="shared" si="20"/>
        <v>241.37931034482762</v>
      </c>
      <c r="AC70" s="190">
        <f t="shared" si="21"/>
        <v>137.93103448275863</v>
      </c>
      <c r="AD70" s="190">
        <f t="shared" si="22"/>
        <v>64.65517241379311</v>
      </c>
      <c r="AE70" s="190">
        <f t="shared" si="23"/>
        <v>20.689655172413794</v>
      </c>
      <c r="AF70" s="191">
        <f t="shared" si="24"/>
        <v>7.758620689655173</v>
      </c>
      <c r="AK70" s="368"/>
      <c r="AL70" s="189" t="s">
        <v>52</v>
      </c>
      <c r="AM70" s="11">
        <v>9</v>
      </c>
      <c r="AN70" s="11">
        <v>24</v>
      </c>
      <c r="AO70" s="11">
        <v>75</v>
      </c>
      <c r="AP70" s="11">
        <v>160</v>
      </c>
      <c r="AQ70" s="11">
        <v>280</v>
      </c>
      <c r="AR70" s="11">
        <v>305</v>
      </c>
      <c r="AS70" s="11">
        <v>320</v>
      </c>
      <c r="AT70" s="11">
        <v>305</v>
      </c>
      <c r="AU70" s="11">
        <v>280</v>
      </c>
      <c r="AV70" s="11">
        <v>160</v>
      </c>
      <c r="AW70" s="11">
        <v>75</v>
      </c>
      <c r="AX70" s="11">
        <v>24</v>
      </c>
      <c r="AY70" s="192">
        <v>9</v>
      </c>
    </row>
    <row r="71" spans="1:51" ht="12.75">
      <c r="A71" s="183"/>
      <c r="B71" s="368"/>
      <c r="C71" s="189" t="s">
        <v>378</v>
      </c>
      <c r="D71" s="190">
        <v>0</v>
      </c>
      <c r="E71" s="190">
        <v>12.931034482758621</v>
      </c>
      <c r="F71" s="190">
        <v>24.13793103448276</v>
      </c>
      <c r="G71" s="190">
        <v>31.896551724137932</v>
      </c>
      <c r="H71" s="190">
        <v>37.931034482758626</v>
      </c>
      <c r="I71" s="190">
        <v>111.20689655172414</v>
      </c>
      <c r="J71" s="190">
        <v>243.96551724137933</v>
      </c>
      <c r="K71" s="190">
        <v>360.3448275862069</v>
      </c>
      <c r="L71" s="190">
        <v>425</v>
      </c>
      <c r="M71" s="190">
        <v>438.7931034482759</v>
      </c>
      <c r="N71" s="190">
        <v>389.65517241379314</v>
      </c>
      <c r="O71" s="190">
        <v>256.89655172413796</v>
      </c>
      <c r="P71" s="191">
        <v>0</v>
      </c>
      <c r="Q71" s="183"/>
      <c r="R71" s="368"/>
      <c r="S71" s="189" t="s">
        <v>50</v>
      </c>
      <c r="T71" s="190">
        <f t="shared" si="25"/>
        <v>7.758620689655173</v>
      </c>
      <c r="U71" s="190">
        <f t="shared" si="13"/>
        <v>20.689655172413794</v>
      </c>
      <c r="V71" s="190">
        <f t="shared" si="14"/>
        <v>31.896551724137932</v>
      </c>
      <c r="W71" s="190">
        <f t="shared" si="15"/>
        <v>35.3448275862069</v>
      </c>
      <c r="X71" s="190">
        <f t="shared" si="16"/>
        <v>37.931034482758626</v>
      </c>
      <c r="Y71" s="190">
        <f t="shared" si="17"/>
        <v>67.24137931034483</v>
      </c>
      <c r="Z71" s="190">
        <f t="shared" si="18"/>
        <v>179.31034482758622</v>
      </c>
      <c r="AA71" s="190">
        <f t="shared" si="19"/>
        <v>289.65517241379314</v>
      </c>
      <c r="AB71" s="190">
        <f t="shared" si="20"/>
        <v>376.72413793103453</v>
      </c>
      <c r="AC71" s="190">
        <f t="shared" si="21"/>
        <v>395.68965517241384</v>
      </c>
      <c r="AD71" s="190">
        <f t="shared" si="22"/>
        <v>374.1379310344828</v>
      </c>
      <c r="AE71" s="190">
        <f t="shared" si="23"/>
        <v>283.62068965517244</v>
      </c>
      <c r="AF71" s="191">
        <f t="shared" si="24"/>
        <v>130.17241379310346</v>
      </c>
      <c r="AK71" s="368"/>
      <c r="AL71" s="189" t="s">
        <v>50</v>
      </c>
      <c r="AM71" s="11">
        <v>9</v>
      </c>
      <c r="AN71" s="11">
        <v>24</v>
      </c>
      <c r="AO71" s="11">
        <v>37</v>
      </c>
      <c r="AP71" s="11">
        <v>41</v>
      </c>
      <c r="AQ71" s="11">
        <v>44</v>
      </c>
      <c r="AR71" s="11">
        <v>78</v>
      </c>
      <c r="AS71" s="11">
        <v>208</v>
      </c>
      <c r="AT71" s="11">
        <v>336</v>
      </c>
      <c r="AU71" s="11">
        <v>437</v>
      </c>
      <c r="AV71" s="11">
        <v>459</v>
      </c>
      <c r="AW71" s="11">
        <v>434</v>
      </c>
      <c r="AX71" s="11">
        <v>329</v>
      </c>
      <c r="AY71" s="192">
        <v>151</v>
      </c>
    </row>
    <row r="72" spans="1:51" ht="12.75">
      <c r="A72" s="183"/>
      <c r="B72" s="368"/>
      <c r="C72" s="189" t="s">
        <v>380</v>
      </c>
      <c r="D72" s="190">
        <v>0</v>
      </c>
      <c r="E72" s="190">
        <v>0</v>
      </c>
      <c r="F72" s="190">
        <v>10.344827586206897</v>
      </c>
      <c r="G72" s="190">
        <v>18.965517241379313</v>
      </c>
      <c r="H72" s="190">
        <v>64.65517241379311</v>
      </c>
      <c r="I72" s="190">
        <v>187.0689655172414</v>
      </c>
      <c r="J72" s="190">
        <v>311.2068965517242</v>
      </c>
      <c r="K72" s="190">
        <v>389.65517241379314</v>
      </c>
      <c r="L72" s="190">
        <v>425</v>
      </c>
      <c r="M72" s="190">
        <v>393.1034482758621</v>
      </c>
      <c r="N72" s="190">
        <v>300.86206896551727</v>
      </c>
      <c r="O72" s="190">
        <v>187.0689655172414</v>
      </c>
      <c r="P72" s="191">
        <v>0</v>
      </c>
      <c r="Q72" s="183"/>
      <c r="R72" s="368"/>
      <c r="S72" s="189" t="s">
        <v>45</v>
      </c>
      <c r="T72" s="190">
        <f t="shared" si="25"/>
        <v>7.758620689655173</v>
      </c>
      <c r="U72" s="190">
        <f t="shared" si="13"/>
        <v>20.689655172413794</v>
      </c>
      <c r="V72" s="190">
        <f t="shared" si="14"/>
        <v>31.896551724137932</v>
      </c>
      <c r="W72" s="190">
        <f t="shared" si="15"/>
        <v>35.3448275862069</v>
      </c>
      <c r="X72" s="190">
        <f t="shared" si="16"/>
        <v>37.931034482758626</v>
      </c>
      <c r="Y72" s="190">
        <f t="shared" si="17"/>
        <v>37.931034482758626</v>
      </c>
      <c r="Z72" s="190">
        <f t="shared" si="18"/>
        <v>37.931034482758626</v>
      </c>
      <c r="AA72" s="190">
        <f t="shared" si="19"/>
        <v>122.41379310344828</v>
      </c>
      <c r="AB72" s="190">
        <f t="shared" si="20"/>
        <v>273.2758620689655</v>
      </c>
      <c r="AC72" s="190">
        <f t="shared" si="21"/>
        <v>393.1034482758621</v>
      </c>
      <c r="AD72" s="190">
        <f t="shared" si="22"/>
        <v>438.7931034482759</v>
      </c>
      <c r="AE72" s="190">
        <f t="shared" si="23"/>
        <v>398.2758620689655</v>
      </c>
      <c r="AF72" s="191">
        <f t="shared" si="24"/>
        <v>226.7241379310345</v>
      </c>
      <c r="AK72" s="368"/>
      <c r="AL72" s="189" t="s">
        <v>45</v>
      </c>
      <c r="AM72" s="11">
        <v>9</v>
      </c>
      <c r="AN72" s="11">
        <v>24</v>
      </c>
      <c r="AO72" s="11">
        <v>37</v>
      </c>
      <c r="AP72" s="11">
        <v>41</v>
      </c>
      <c r="AQ72" s="11">
        <v>44</v>
      </c>
      <c r="AR72" s="11">
        <v>44</v>
      </c>
      <c r="AS72" s="11">
        <v>44</v>
      </c>
      <c r="AT72" s="11">
        <v>142</v>
      </c>
      <c r="AU72" s="11">
        <v>317</v>
      </c>
      <c r="AV72" s="11">
        <v>456</v>
      </c>
      <c r="AW72" s="11">
        <v>509</v>
      </c>
      <c r="AX72" s="11">
        <v>462</v>
      </c>
      <c r="AY72" s="192">
        <v>263</v>
      </c>
    </row>
    <row r="73" spans="1:51" ht="12.75">
      <c r="A73" s="183"/>
      <c r="B73" s="368"/>
      <c r="C73" s="189" t="s">
        <v>382</v>
      </c>
      <c r="D73" s="190">
        <v>0</v>
      </c>
      <c r="E73" s="190">
        <v>0</v>
      </c>
      <c r="F73" s="190">
        <v>1.7241379310344829</v>
      </c>
      <c r="G73" s="190">
        <v>10.344827586206897</v>
      </c>
      <c r="H73" s="190">
        <v>56.896551724137936</v>
      </c>
      <c r="I73" s="190">
        <v>181.0344827586207</v>
      </c>
      <c r="J73" s="190">
        <v>289.65517241379314</v>
      </c>
      <c r="K73" s="190">
        <v>343.96551724137936</v>
      </c>
      <c r="L73" s="190">
        <v>343.96551724137936</v>
      </c>
      <c r="M73" s="190">
        <v>256.89655172413796</v>
      </c>
      <c r="N73" s="190">
        <v>168.1034482758621</v>
      </c>
      <c r="O73" s="190">
        <v>0</v>
      </c>
      <c r="P73" s="191">
        <v>0</v>
      </c>
      <c r="Q73" s="183"/>
      <c r="R73" s="368"/>
      <c r="S73" s="189" t="s">
        <v>51</v>
      </c>
      <c r="T73" s="190">
        <f t="shared" si="25"/>
        <v>7.758620689655173</v>
      </c>
      <c r="U73" s="190">
        <f t="shared" si="13"/>
        <v>20.689655172413794</v>
      </c>
      <c r="V73" s="190">
        <f t="shared" si="14"/>
        <v>31.896551724137932</v>
      </c>
      <c r="W73" s="190">
        <f t="shared" si="15"/>
        <v>35.3448275862069</v>
      </c>
      <c r="X73" s="190">
        <f t="shared" si="16"/>
        <v>37.931034482758626</v>
      </c>
      <c r="Y73" s="190">
        <f t="shared" si="17"/>
        <v>37.931034482758626</v>
      </c>
      <c r="Z73" s="190">
        <f t="shared" si="18"/>
        <v>37.931034482758626</v>
      </c>
      <c r="AA73" s="190">
        <f t="shared" si="19"/>
        <v>37.931034482758626</v>
      </c>
      <c r="AB73" s="190">
        <f t="shared" si="20"/>
        <v>43.10344827586207</v>
      </c>
      <c r="AC73" s="190">
        <f t="shared" si="21"/>
        <v>124.13793103448276</v>
      </c>
      <c r="AD73" s="190">
        <f t="shared" si="22"/>
        <v>222.41379310344828</v>
      </c>
      <c r="AE73" s="190">
        <f t="shared" si="23"/>
        <v>275.86206896551727</v>
      </c>
      <c r="AF73" s="191">
        <f t="shared" si="24"/>
        <v>183.6206896551724</v>
      </c>
      <c r="AK73" s="368"/>
      <c r="AL73" s="189" t="s">
        <v>51</v>
      </c>
      <c r="AM73" s="11">
        <v>9</v>
      </c>
      <c r="AN73" s="11">
        <v>24</v>
      </c>
      <c r="AO73" s="11">
        <v>37</v>
      </c>
      <c r="AP73" s="11">
        <v>41</v>
      </c>
      <c r="AQ73" s="11">
        <v>44</v>
      </c>
      <c r="AR73" s="11">
        <v>44</v>
      </c>
      <c r="AS73" s="11">
        <v>44</v>
      </c>
      <c r="AT73" s="11">
        <v>44</v>
      </c>
      <c r="AU73" s="11">
        <v>50</v>
      </c>
      <c r="AV73" s="11">
        <v>144</v>
      </c>
      <c r="AW73" s="11">
        <v>258</v>
      </c>
      <c r="AX73" s="11">
        <v>320</v>
      </c>
      <c r="AY73" s="192">
        <v>213</v>
      </c>
    </row>
    <row r="74" spans="1:51" ht="13.5" thickBot="1">
      <c r="A74" s="183"/>
      <c r="B74" s="369"/>
      <c r="C74" s="193" t="s">
        <v>383</v>
      </c>
      <c r="D74" s="194">
        <v>0</v>
      </c>
      <c r="E74" s="194">
        <v>0</v>
      </c>
      <c r="F74" s="194">
        <v>0</v>
      </c>
      <c r="G74" s="194">
        <v>7.758620689655173</v>
      </c>
      <c r="H74" s="194">
        <v>67.24137931034483</v>
      </c>
      <c r="I74" s="194">
        <v>168.1034482758621</v>
      </c>
      <c r="J74" s="194">
        <v>270.68965517241384</v>
      </c>
      <c r="K74" s="194">
        <v>313.7931034482759</v>
      </c>
      <c r="L74" s="194">
        <v>289.65517241379314</v>
      </c>
      <c r="M74" s="194">
        <v>111.20689655172414</v>
      </c>
      <c r="N74" s="194">
        <v>0</v>
      </c>
      <c r="O74" s="194">
        <v>0</v>
      </c>
      <c r="P74" s="195">
        <v>0</v>
      </c>
      <c r="Q74" s="183"/>
      <c r="R74" s="369"/>
      <c r="S74" s="193" t="s">
        <v>53</v>
      </c>
      <c r="T74" s="194">
        <f t="shared" si="25"/>
        <v>24.13793103448276</v>
      </c>
      <c r="U74" s="194">
        <f t="shared" si="13"/>
        <v>126.72413793103449</v>
      </c>
      <c r="V74" s="194">
        <f t="shared" si="14"/>
        <v>270.68965517241384</v>
      </c>
      <c r="W74" s="194">
        <f t="shared" si="15"/>
        <v>406.0344827586207</v>
      </c>
      <c r="X74" s="194">
        <f t="shared" si="16"/>
        <v>500.86206896551727</v>
      </c>
      <c r="Y74" s="194">
        <f t="shared" si="17"/>
        <v>556.0344827586207</v>
      </c>
      <c r="Z74" s="194">
        <f t="shared" si="18"/>
        <v>580.1724137931035</v>
      </c>
      <c r="AA74" s="194">
        <f t="shared" si="19"/>
        <v>556.0344827586207</v>
      </c>
      <c r="AB74" s="194">
        <f t="shared" si="20"/>
        <v>500.86206896551727</v>
      </c>
      <c r="AC74" s="194">
        <f t="shared" si="21"/>
        <v>406.0344827586207</v>
      </c>
      <c r="AD74" s="194">
        <f t="shared" si="22"/>
        <v>270.68965517241384</v>
      </c>
      <c r="AE74" s="194">
        <f t="shared" si="23"/>
        <v>126.72413793103449</v>
      </c>
      <c r="AF74" s="195">
        <f t="shared" si="24"/>
        <v>24.13793103448276</v>
      </c>
      <c r="AK74" s="369"/>
      <c r="AL74" s="193" t="s">
        <v>53</v>
      </c>
      <c r="AM74" s="196">
        <v>28</v>
      </c>
      <c r="AN74" s="196">
        <v>147</v>
      </c>
      <c r="AO74" s="196">
        <v>314</v>
      </c>
      <c r="AP74" s="196">
        <v>471</v>
      </c>
      <c r="AQ74" s="196">
        <v>581</v>
      </c>
      <c r="AR74" s="196">
        <v>645</v>
      </c>
      <c r="AS74" s="196">
        <v>673</v>
      </c>
      <c r="AT74" s="196">
        <v>645</v>
      </c>
      <c r="AU74" s="196">
        <v>581</v>
      </c>
      <c r="AV74" s="196">
        <v>471</v>
      </c>
      <c r="AW74" s="196">
        <v>314</v>
      </c>
      <c r="AX74" s="196">
        <v>147</v>
      </c>
      <c r="AY74" s="197">
        <v>28</v>
      </c>
    </row>
    <row r="75" spans="1:51" ht="12.75" customHeight="1">
      <c r="A75" s="183"/>
      <c r="B75" s="367" t="s">
        <v>407</v>
      </c>
      <c r="C75" s="184" t="s">
        <v>384</v>
      </c>
      <c r="D75" s="185">
        <v>0</v>
      </c>
      <c r="E75" s="185">
        <v>0</v>
      </c>
      <c r="F75" s="185">
        <v>1.7241379310344829</v>
      </c>
      <c r="G75" s="185">
        <v>10.344827586206897</v>
      </c>
      <c r="H75" s="185">
        <v>16.379310344827587</v>
      </c>
      <c r="I75" s="185">
        <v>20.689655172413794</v>
      </c>
      <c r="J75" s="185">
        <v>24.13793103448276</v>
      </c>
      <c r="K75" s="185">
        <v>75</v>
      </c>
      <c r="L75" s="185">
        <v>154.31034482758622</v>
      </c>
      <c r="M75" s="185">
        <v>173.27586206896552</v>
      </c>
      <c r="N75" s="185">
        <v>137.93103448275863</v>
      </c>
      <c r="O75" s="185">
        <v>0</v>
      </c>
      <c r="P75" s="186">
        <v>0</v>
      </c>
      <c r="Q75" s="183"/>
      <c r="R75" s="367" t="s">
        <v>378</v>
      </c>
      <c r="S75" s="184" t="s">
        <v>43</v>
      </c>
      <c r="T75" s="185">
        <f t="shared" si="25"/>
        <v>0</v>
      </c>
      <c r="U75" s="185">
        <f t="shared" si="13"/>
        <v>12.931034482758621</v>
      </c>
      <c r="V75" s="185">
        <f t="shared" si="14"/>
        <v>24.13793103448276</v>
      </c>
      <c r="W75" s="185">
        <f t="shared" si="15"/>
        <v>31.896551724137932</v>
      </c>
      <c r="X75" s="185">
        <f t="shared" si="16"/>
        <v>35.3448275862069</v>
      </c>
      <c r="Y75" s="185">
        <f t="shared" si="17"/>
        <v>35.3448275862069</v>
      </c>
      <c r="Z75" s="185">
        <f t="shared" si="18"/>
        <v>37.931034482758626</v>
      </c>
      <c r="AA75" s="185">
        <f t="shared" si="19"/>
        <v>35.3448275862069</v>
      </c>
      <c r="AB75" s="185">
        <f t="shared" si="20"/>
        <v>35.3448275862069</v>
      </c>
      <c r="AC75" s="185">
        <f t="shared" si="21"/>
        <v>31.896551724137932</v>
      </c>
      <c r="AD75" s="185">
        <f t="shared" si="22"/>
        <v>24.13793103448276</v>
      </c>
      <c r="AE75" s="185">
        <f t="shared" si="23"/>
        <v>12.931034482758621</v>
      </c>
      <c r="AF75" s="186">
        <f t="shared" si="24"/>
        <v>0</v>
      </c>
      <c r="AK75" s="367" t="s">
        <v>378</v>
      </c>
      <c r="AL75" s="184" t="s">
        <v>43</v>
      </c>
      <c r="AM75" s="187">
        <v>0</v>
      </c>
      <c r="AN75" s="187">
        <v>15</v>
      </c>
      <c r="AO75" s="187">
        <v>28</v>
      </c>
      <c r="AP75" s="187">
        <v>37</v>
      </c>
      <c r="AQ75" s="187">
        <v>41</v>
      </c>
      <c r="AR75" s="187">
        <v>41</v>
      </c>
      <c r="AS75" s="187">
        <v>44</v>
      </c>
      <c r="AT75" s="187">
        <v>41</v>
      </c>
      <c r="AU75" s="187">
        <v>41</v>
      </c>
      <c r="AV75" s="187">
        <v>37</v>
      </c>
      <c r="AW75" s="187">
        <v>28</v>
      </c>
      <c r="AX75" s="187">
        <v>15</v>
      </c>
      <c r="AY75" s="188">
        <v>0</v>
      </c>
    </row>
    <row r="76" spans="1:51" ht="12.75">
      <c r="A76" s="183"/>
      <c r="B76" s="368"/>
      <c r="C76" s="189" t="s">
        <v>381</v>
      </c>
      <c r="D76" s="190">
        <v>0</v>
      </c>
      <c r="E76" s="190">
        <v>0</v>
      </c>
      <c r="F76" s="190">
        <v>10.344827586206897</v>
      </c>
      <c r="G76" s="190">
        <v>18.965517241379313</v>
      </c>
      <c r="H76" s="190">
        <v>24.13793103448276</v>
      </c>
      <c r="I76" s="190">
        <v>26.724137931034484</v>
      </c>
      <c r="J76" s="190">
        <v>29.31034482758621</v>
      </c>
      <c r="K76" s="190">
        <v>93.96551724137932</v>
      </c>
      <c r="L76" s="190">
        <v>213.79310344827587</v>
      </c>
      <c r="M76" s="190">
        <v>283.62068965517244</v>
      </c>
      <c r="N76" s="190">
        <v>268.1034482758621</v>
      </c>
      <c r="O76" s="190">
        <v>198.27586206896552</v>
      </c>
      <c r="P76" s="191">
        <v>0</v>
      </c>
      <c r="Q76" s="183"/>
      <c r="R76" s="368"/>
      <c r="S76" s="189" t="s">
        <v>49</v>
      </c>
      <c r="T76" s="190">
        <f t="shared" si="25"/>
        <v>0</v>
      </c>
      <c r="U76" s="190">
        <f t="shared" si="13"/>
        <v>137.93103448275863</v>
      </c>
      <c r="V76" s="190">
        <f t="shared" si="14"/>
        <v>156.89655172413794</v>
      </c>
      <c r="W76" s="190">
        <f t="shared" si="15"/>
        <v>69.82758620689656</v>
      </c>
      <c r="X76" s="190">
        <f t="shared" si="16"/>
        <v>35.3448275862069</v>
      </c>
      <c r="Y76" s="190">
        <f t="shared" si="17"/>
        <v>35.3448275862069</v>
      </c>
      <c r="Z76" s="190">
        <f t="shared" si="18"/>
        <v>37.931034482758626</v>
      </c>
      <c r="AA76" s="190">
        <f t="shared" si="19"/>
        <v>35.3448275862069</v>
      </c>
      <c r="AB76" s="190">
        <f t="shared" si="20"/>
        <v>35.3448275862069</v>
      </c>
      <c r="AC76" s="190">
        <f t="shared" si="21"/>
        <v>31.896551724137932</v>
      </c>
      <c r="AD76" s="190">
        <f t="shared" si="22"/>
        <v>24.13793103448276</v>
      </c>
      <c r="AE76" s="190">
        <f t="shared" si="23"/>
        <v>12.931034482758621</v>
      </c>
      <c r="AF76" s="191">
        <f t="shared" si="24"/>
        <v>0</v>
      </c>
      <c r="AK76" s="368"/>
      <c r="AL76" s="189" t="s">
        <v>49</v>
      </c>
      <c r="AM76" s="11">
        <v>0</v>
      </c>
      <c r="AN76" s="11">
        <v>160</v>
      </c>
      <c r="AO76" s="11">
        <v>182</v>
      </c>
      <c r="AP76" s="11">
        <v>81</v>
      </c>
      <c r="AQ76" s="11">
        <v>41</v>
      </c>
      <c r="AR76" s="11">
        <v>41</v>
      </c>
      <c r="AS76" s="11">
        <v>44</v>
      </c>
      <c r="AT76" s="11">
        <v>41</v>
      </c>
      <c r="AU76" s="11">
        <v>41</v>
      </c>
      <c r="AV76" s="11">
        <v>37</v>
      </c>
      <c r="AW76" s="11">
        <v>28</v>
      </c>
      <c r="AX76" s="11">
        <v>15</v>
      </c>
      <c r="AY76" s="192">
        <v>0</v>
      </c>
    </row>
    <row r="77" spans="1:51" ht="12.75">
      <c r="A77" s="183"/>
      <c r="B77" s="368"/>
      <c r="C77" s="189" t="s">
        <v>379</v>
      </c>
      <c r="D77" s="190">
        <v>0</v>
      </c>
      <c r="E77" s="190">
        <v>12.931034482758621</v>
      </c>
      <c r="F77" s="190">
        <v>24.13793103448276</v>
      </c>
      <c r="G77" s="190">
        <v>31.896551724137932</v>
      </c>
      <c r="H77" s="190">
        <v>35.3448275862069</v>
      </c>
      <c r="I77" s="190">
        <v>35.3448275862069</v>
      </c>
      <c r="J77" s="190">
        <v>37.931034482758626</v>
      </c>
      <c r="K77" s="190">
        <v>122.41379310344828</v>
      </c>
      <c r="L77" s="190">
        <v>268.1034482758621</v>
      </c>
      <c r="M77" s="190">
        <v>376.72413793103453</v>
      </c>
      <c r="N77" s="190">
        <v>404.3103448275862</v>
      </c>
      <c r="O77" s="190">
        <v>313.7931034482759</v>
      </c>
      <c r="P77" s="191">
        <v>0</v>
      </c>
      <c r="Q77" s="183"/>
      <c r="R77" s="368"/>
      <c r="S77" s="189" t="s">
        <v>44</v>
      </c>
      <c r="T77" s="190">
        <f t="shared" si="25"/>
        <v>0</v>
      </c>
      <c r="U77" s="190">
        <f t="shared" si="13"/>
        <v>313.7931034482759</v>
      </c>
      <c r="V77" s="190">
        <f t="shared" si="14"/>
        <v>404.3103448275862</v>
      </c>
      <c r="W77" s="190">
        <f t="shared" si="15"/>
        <v>376.72413793103453</v>
      </c>
      <c r="X77" s="190">
        <f t="shared" si="16"/>
        <v>268.1034482758621</v>
      </c>
      <c r="Y77" s="190">
        <f t="shared" si="17"/>
        <v>122.41379310344828</v>
      </c>
      <c r="Z77" s="190">
        <f t="shared" si="18"/>
        <v>37.931034482758626</v>
      </c>
      <c r="AA77" s="190">
        <f t="shared" si="19"/>
        <v>35.3448275862069</v>
      </c>
      <c r="AB77" s="190">
        <f t="shared" si="20"/>
        <v>35.3448275862069</v>
      </c>
      <c r="AC77" s="190">
        <f t="shared" si="21"/>
        <v>31.896551724137932</v>
      </c>
      <c r="AD77" s="190">
        <f t="shared" si="22"/>
        <v>24.13793103448276</v>
      </c>
      <c r="AE77" s="190">
        <f t="shared" si="23"/>
        <v>12.931034482758621</v>
      </c>
      <c r="AF77" s="191">
        <f t="shared" si="24"/>
        <v>0</v>
      </c>
      <c r="AK77" s="368"/>
      <c r="AL77" s="189" t="s">
        <v>44</v>
      </c>
      <c r="AM77" s="11">
        <v>0</v>
      </c>
      <c r="AN77" s="11">
        <v>364</v>
      </c>
      <c r="AO77" s="11">
        <v>469</v>
      </c>
      <c r="AP77" s="11">
        <v>437</v>
      </c>
      <c r="AQ77" s="11">
        <v>311</v>
      </c>
      <c r="AR77" s="11">
        <v>142</v>
      </c>
      <c r="AS77" s="11">
        <v>44</v>
      </c>
      <c r="AT77" s="11">
        <v>41</v>
      </c>
      <c r="AU77" s="11">
        <v>41</v>
      </c>
      <c r="AV77" s="11">
        <v>37</v>
      </c>
      <c r="AW77" s="11">
        <v>28</v>
      </c>
      <c r="AX77" s="11">
        <v>15</v>
      </c>
      <c r="AY77" s="192">
        <v>0</v>
      </c>
    </row>
    <row r="78" spans="1:51" ht="12.75">
      <c r="A78" s="183"/>
      <c r="B78" s="368"/>
      <c r="C78" s="189" t="s">
        <v>377</v>
      </c>
      <c r="D78" s="190">
        <v>7.758620689655173</v>
      </c>
      <c r="E78" s="190">
        <v>20.689655172413794</v>
      </c>
      <c r="F78" s="190">
        <v>31.896551724137932</v>
      </c>
      <c r="G78" s="190">
        <v>35.3448275862069</v>
      </c>
      <c r="H78" s="190">
        <v>37.931034482758626</v>
      </c>
      <c r="I78" s="190">
        <v>37.931034482758626</v>
      </c>
      <c r="J78" s="190">
        <v>37.931034482758626</v>
      </c>
      <c r="K78" s="190">
        <v>122.41379310344828</v>
      </c>
      <c r="L78" s="190">
        <v>273.2758620689655</v>
      </c>
      <c r="M78" s="190">
        <v>393.1034482758621</v>
      </c>
      <c r="N78" s="190">
        <v>438.7931034482759</v>
      </c>
      <c r="O78" s="190">
        <v>398.2758620689655</v>
      </c>
      <c r="P78" s="191">
        <v>226.7241379310345</v>
      </c>
      <c r="Q78" s="183"/>
      <c r="R78" s="368"/>
      <c r="S78" s="189" t="s">
        <v>52</v>
      </c>
      <c r="T78" s="190">
        <f t="shared" si="25"/>
        <v>0</v>
      </c>
      <c r="U78" s="190">
        <f t="shared" si="13"/>
        <v>256.89655172413796</v>
      </c>
      <c r="V78" s="190">
        <f t="shared" si="14"/>
        <v>389.65517241379314</v>
      </c>
      <c r="W78" s="190">
        <f t="shared" si="15"/>
        <v>438.7931034482759</v>
      </c>
      <c r="X78" s="190">
        <f t="shared" si="16"/>
        <v>425.00000000000006</v>
      </c>
      <c r="Y78" s="190">
        <f t="shared" si="17"/>
        <v>360.3448275862069</v>
      </c>
      <c r="Z78" s="190">
        <f t="shared" si="18"/>
        <v>243.96551724137933</v>
      </c>
      <c r="AA78" s="190">
        <f t="shared" si="19"/>
        <v>111.20689655172414</v>
      </c>
      <c r="AB78" s="190">
        <f t="shared" si="20"/>
        <v>37.931034482758626</v>
      </c>
      <c r="AC78" s="190">
        <f t="shared" si="21"/>
        <v>31.896551724137932</v>
      </c>
      <c r="AD78" s="190">
        <f t="shared" si="22"/>
        <v>24.13793103448276</v>
      </c>
      <c r="AE78" s="190">
        <f t="shared" si="23"/>
        <v>12.931034482758621</v>
      </c>
      <c r="AF78" s="191">
        <f t="shared" si="24"/>
        <v>0</v>
      </c>
      <c r="AK78" s="368"/>
      <c r="AL78" s="189" t="s">
        <v>52</v>
      </c>
      <c r="AM78" s="11">
        <v>0</v>
      </c>
      <c r="AN78" s="11">
        <v>298</v>
      </c>
      <c r="AO78" s="11">
        <v>452</v>
      </c>
      <c r="AP78" s="11">
        <v>509</v>
      </c>
      <c r="AQ78" s="11">
        <v>493</v>
      </c>
      <c r="AR78" s="11">
        <v>418</v>
      </c>
      <c r="AS78" s="11">
        <v>283</v>
      </c>
      <c r="AT78" s="11">
        <v>129</v>
      </c>
      <c r="AU78" s="11">
        <v>44</v>
      </c>
      <c r="AV78" s="11">
        <v>37</v>
      </c>
      <c r="AW78" s="11">
        <v>28</v>
      </c>
      <c r="AX78" s="11">
        <v>15</v>
      </c>
      <c r="AY78" s="192">
        <v>0</v>
      </c>
    </row>
    <row r="79" spans="1:51" ht="12.75">
      <c r="A79" s="183"/>
      <c r="B79" s="368"/>
      <c r="C79" s="189" t="s">
        <v>376</v>
      </c>
      <c r="D79" s="190">
        <v>12.931034482758621</v>
      </c>
      <c r="E79" s="190">
        <v>26.724137931034484</v>
      </c>
      <c r="F79" s="190">
        <v>31.896551724137932</v>
      </c>
      <c r="G79" s="190">
        <v>35.3448275862069</v>
      </c>
      <c r="H79" s="190">
        <v>37.931034482758626</v>
      </c>
      <c r="I79" s="190">
        <v>37.931034482758626</v>
      </c>
      <c r="J79" s="190">
        <v>37.931034482758626</v>
      </c>
      <c r="K79" s="190">
        <v>116.37931034482759</v>
      </c>
      <c r="L79" s="190">
        <v>264.65517241379314</v>
      </c>
      <c r="M79" s="190">
        <v>389.65517241379314</v>
      </c>
      <c r="N79" s="190">
        <v>443.96551724137936</v>
      </c>
      <c r="O79" s="190">
        <v>436.2068965517242</v>
      </c>
      <c r="P79" s="191">
        <v>319.82758620689657</v>
      </c>
      <c r="Q79" s="183"/>
      <c r="R79" s="368"/>
      <c r="S79" s="189" t="s">
        <v>46</v>
      </c>
      <c r="T79" s="190">
        <f t="shared" si="25"/>
        <v>0</v>
      </c>
      <c r="U79" s="190">
        <f t="shared" si="13"/>
        <v>31.896551724137932</v>
      </c>
      <c r="V79" s="190">
        <f t="shared" si="14"/>
        <v>118.96551724137932</v>
      </c>
      <c r="W79" s="190">
        <f t="shared" si="15"/>
        <v>218.96551724137933</v>
      </c>
      <c r="X79" s="190">
        <f t="shared" si="16"/>
        <v>298.2758620689655</v>
      </c>
      <c r="Y79" s="190">
        <f t="shared" si="17"/>
        <v>330.1724137931035</v>
      </c>
      <c r="Z79" s="190">
        <f t="shared" si="18"/>
        <v>379.3103448275862</v>
      </c>
      <c r="AA79" s="190">
        <f t="shared" si="19"/>
        <v>330.1724137931035</v>
      </c>
      <c r="AB79" s="190">
        <f t="shared" si="20"/>
        <v>298.2758620689655</v>
      </c>
      <c r="AC79" s="190">
        <f t="shared" si="21"/>
        <v>218.96551724137933</v>
      </c>
      <c r="AD79" s="190">
        <f t="shared" si="22"/>
        <v>118.96551724137932</v>
      </c>
      <c r="AE79" s="190">
        <f t="shared" si="23"/>
        <v>31.896551724137932</v>
      </c>
      <c r="AF79" s="191">
        <f t="shared" si="24"/>
        <v>0</v>
      </c>
      <c r="AK79" s="368"/>
      <c r="AL79" s="189" t="s">
        <v>52</v>
      </c>
      <c r="AM79" s="11">
        <v>0</v>
      </c>
      <c r="AN79" s="11">
        <v>37</v>
      </c>
      <c r="AO79" s="11">
        <v>138</v>
      </c>
      <c r="AP79" s="11">
        <v>254</v>
      </c>
      <c r="AQ79" s="11">
        <v>346</v>
      </c>
      <c r="AR79" s="11">
        <v>383</v>
      </c>
      <c r="AS79" s="11">
        <v>440</v>
      </c>
      <c r="AT79" s="11">
        <v>383</v>
      </c>
      <c r="AU79" s="11">
        <v>346</v>
      </c>
      <c r="AV79" s="11">
        <v>254</v>
      </c>
      <c r="AW79" s="11">
        <v>138</v>
      </c>
      <c r="AX79" s="11">
        <v>37</v>
      </c>
      <c r="AY79" s="192">
        <v>0</v>
      </c>
    </row>
    <row r="80" spans="1:51" ht="12.75">
      <c r="A80" s="183"/>
      <c r="B80" s="368"/>
      <c r="C80" s="189" t="s">
        <v>54</v>
      </c>
      <c r="D80" s="190">
        <v>16.379310344827587</v>
      </c>
      <c r="E80" s="190">
        <v>26.724137931034484</v>
      </c>
      <c r="F80" s="190">
        <v>31.896551724137932</v>
      </c>
      <c r="G80" s="190">
        <v>35.3448275862069</v>
      </c>
      <c r="H80" s="190">
        <v>37.931034482758626</v>
      </c>
      <c r="I80" s="190">
        <v>37.931034482758626</v>
      </c>
      <c r="J80" s="190">
        <v>37.931034482758626</v>
      </c>
      <c r="K80" s="190">
        <v>118.96551724137932</v>
      </c>
      <c r="L80" s="190">
        <v>256.89655172413796</v>
      </c>
      <c r="M80" s="190">
        <v>385.3448275862069</v>
      </c>
      <c r="N80" s="190">
        <v>438.7931034482759</v>
      </c>
      <c r="O80" s="190">
        <v>436.2068965517242</v>
      </c>
      <c r="P80" s="191">
        <v>341.3793103448276</v>
      </c>
      <c r="Q80" s="183"/>
      <c r="R80" s="368"/>
      <c r="S80" s="189" t="s">
        <v>50</v>
      </c>
      <c r="T80" s="190">
        <f t="shared" si="25"/>
        <v>0</v>
      </c>
      <c r="U80" s="190">
        <f t="shared" si="13"/>
        <v>12.931034482758621</v>
      </c>
      <c r="V80" s="190">
        <f t="shared" si="14"/>
        <v>24.13793103448276</v>
      </c>
      <c r="W80" s="190">
        <f t="shared" si="15"/>
        <v>31.896551724137932</v>
      </c>
      <c r="X80" s="190">
        <f t="shared" si="16"/>
        <v>37.931034482758626</v>
      </c>
      <c r="Y80" s="190">
        <f t="shared" si="17"/>
        <v>111.20689655172414</v>
      </c>
      <c r="Z80" s="190">
        <f t="shared" si="18"/>
        <v>243.96551724137933</v>
      </c>
      <c r="AA80" s="190">
        <f t="shared" si="19"/>
        <v>360.3448275862069</v>
      </c>
      <c r="AB80" s="190">
        <f t="shared" si="20"/>
        <v>425.00000000000006</v>
      </c>
      <c r="AC80" s="190">
        <f t="shared" si="21"/>
        <v>438.7931034482759</v>
      </c>
      <c r="AD80" s="190">
        <f t="shared" si="22"/>
        <v>389.65517241379314</v>
      </c>
      <c r="AE80" s="190">
        <f t="shared" si="23"/>
        <v>256.89655172413796</v>
      </c>
      <c r="AF80" s="191">
        <f t="shared" si="24"/>
        <v>0</v>
      </c>
      <c r="AK80" s="368"/>
      <c r="AL80" s="189" t="s">
        <v>50</v>
      </c>
      <c r="AM80" s="11">
        <v>0</v>
      </c>
      <c r="AN80" s="11">
        <v>15</v>
      </c>
      <c r="AO80" s="11">
        <v>28</v>
      </c>
      <c r="AP80" s="11">
        <v>37</v>
      </c>
      <c r="AQ80" s="11">
        <v>44</v>
      </c>
      <c r="AR80" s="11">
        <v>129</v>
      </c>
      <c r="AS80" s="11">
        <v>283</v>
      </c>
      <c r="AT80" s="11">
        <v>418</v>
      </c>
      <c r="AU80" s="11">
        <v>493</v>
      </c>
      <c r="AV80" s="11">
        <v>509</v>
      </c>
      <c r="AW80" s="11">
        <v>452</v>
      </c>
      <c r="AX80" s="11">
        <v>298</v>
      </c>
      <c r="AY80" s="192">
        <v>0</v>
      </c>
    </row>
    <row r="81" spans="1:51" ht="12.75">
      <c r="A81" s="183"/>
      <c r="B81" s="368"/>
      <c r="C81" s="189" t="s">
        <v>374</v>
      </c>
      <c r="D81" s="190">
        <v>12.931034482758621</v>
      </c>
      <c r="E81" s="190">
        <v>26.724137931034484</v>
      </c>
      <c r="F81" s="190">
        <v>31.896551724137932</v>
      </c>
      <c r="G81" s="190">
        <v>35.3448275862069</v>
      </c>
      <c r="H81" s="190">
        <v>37.931034482758626</v>
      </c>
      <c r="I81" s="190">
        <v>37.931034482758626</v>
      </c>
      <c r="J81" s="190">
        <v>37.931034482758626</v>
      </c>
      <c r="K81" s="190">
        <v>116.37931034482759</v>
      </c>
      <c r="L81" s="190">
        <v>264.65517241379314</v>
      </c>
      <c r="M81" s="190">
        <v>389.65517241379314</v>
      </c>
      <c r="N81" s="190">
        <v>443.96551724137936</v>
      </c>
      <c r="O81" s="190">
        <v>436.2068965517242</v>
      </c>
      <c r="P81" s="191">
        <v>319.82758620689657</v>
      </c>
      <c r="Q81" s="183"/>
      <c r="R81" s="368"/>
      <c r="S81" s="189" t="s">
        <v>45</v>
      </c>
      <c r="T81" s="190">
        <f t="shared" si="25"/>
        <v>0</v>
      </c>
      <c r="U81" s="190">
        <f t="shared" si="13"/>
        <v>12.931034482758621</v>
      </c>
      <c r="V81" s="190">
        <f t="shared" si="14"/>
        <v>24.13793103448276</v>
      </c>
      <c r="W81" s="190">
        <f t="shared" si="15"/>
        <v>31.896551724137932</v>
      </c>
      <c r="X81" s="190">
        <f t="shared" si="16"/>
        <v>35.3448275862069</v>
      </c>
      <c r="Y81" s="190">
        <f t="shared" si="17"/>
        <v>35.3448275862069</v>
      </c>
      <c r="Z81" s="190">
        <f t="shared" si="18"/>
        <v>37.931034482758626</v>
      </c>
      <c r="AA81" s="190">
        <f t="shared" si="19"/>
        <v>122.41379310344828</v>
      </c>
      <c r="AB81" s="190">
        <f t="shared" si="20"/>
        <v>268.1034482758621</v>
      </c>
      <c r="AC81" s="190">
        <f t="shared" si="21"/>
        <v>376.72413793103453</v>
      </c>
      <c r="AD81" s="190">
        <f t="shared" si="22"/>
        <v>404.3103448275862</v>
      </c>
      <c r="AE81" s="190">
        <f t="shared" si="23"/>
        <v>313.7931034482759</v>
      </c>
      <c r="AF81" s="191">
        <f t="shared" si="24"/>
        <v>0</v>
      </c>
      <c r="AK81" s="368"/>
      <c r="AL81" s="189" t="s">
        <v>45</v>
      </c>
      <c r="AM81" s="11">
        <v>0</v>
      </c>
      <c r="AN81" s="11">
        <v>15</v>
      </c>
      <c r="AO81" s="11">
        <v>28</v>
      </c>
      <c r="AP81" s="11">
        <v>37</v>
      </c>
      <c r="AQ81" s="11">
        <v>41</v>
      </c>
      <c r="AR81" s="11">
        <v>41</v>
      </c>
      <c r="AS81" s="11">
        <v>44</v>
      </c>
      <c r="AT81" s="11">
        <v>142</v>
      </c>
      <c r="AU81" s="11">
        <v>311</v>
      </c>
      <c r="AV81" s="11">
        <v>437</v>
      </c>
      <c r="AW81" s="11">
        <v>469</v>
      </c>
      <c r="AX81" s="11">
        <v>364</v>
      </c>
      <c r="AY81" s="192">
        <v>0</v>
      </c>
    </row>
    <row r="82" spans="1:51" ht="12.75">
      <c r="A82" s="183"/>
      <c r="B82" s="368"/>
      <c r="C82" s="189" t="s">
        <v>375</v>
      </c>
      <c r="D82" s="190">
        <v>7.758620689655173</v>
      </c>
      <c r="E82" s="190">
        <v>20.689655172413794</v>
      </c>
      <c r="F82" s="190">
        <v>31.896551724137932</v>
      </c>
      <c r="G82" s="190">
        <v>35.3448275862069</v>
      </c>
      <c r="H82" s="190">
        <v>37.931034482758626</v>
      </c>
      <c r="I82" s="190">
        <v>37.931034482758626</v>
      </c>
      <c r="J82" s="190">
        <v>37.931034482758626</v>
      </c>
      <c r="K82" s="190">
        <v>122.41379310344828</v>
      </c>
      <c r="L82" s="190">
        <v>273.2758620689655</v>
      </c>
      <c r="M82" s="190">
        <v>393.1034482758621</v>
      </c>
      <c r="N82" s="190">
        <v>438.7931034482759</v>
      </c>
      <c r="O82" s="190">
        <v>398.2758620689655</v>
      </c>
      <c r="P82" s="191">
        <v>226.7241379310345</v>
      </c>
      <c r="Q82" s="183"/>
      <c r="R82" s="368"/>
      <c r="S82" s="189" t="s">
        <v>51</v>
      </c>
      <c r="T82" s="190">
        <f t="shared" si="25"/>
        <v>0</v>
      </c>
      <c r="U82" s="190">
        <f t="shared" si="13"/>
        <v>12.931034482758621</v>
      </c>
      <c r="V82" s="190">
        <f t="shared" si="14"/>
        <v>24.13793103448276</v>
      </c>
      <c r="W82" s="190">
        <f t="shared" si="15"/>
        <v>31.896551724137932</v>
      </c>
      <c r="X82" s="190">
        <f t="shared" si="16"/>
        <v>35.3448275862069</v>
      </c>
      <c r="Y82" s="190">
        <f t="shared" si="17"/>
        <v>35.3448275862069</v>
      </c>
      <c r="Z82" s="190">
        <f t="shared" si="18"/>
        <v>37.931034482758626</v>
      </c>
      <c r="AA82" s="190">
        <f t="shared" si="19"/>
        <v>35.3448275862069</v>
      </c>
      <c r="AB82" s="190">
        <f t="shared" si="20"/>
        <v>35.3448275862069</v>
      </c>
      <c r="AC82" s="190">
        <f t="shared" si="21"/>
        <v>69.82758620689656</v>
      </c>
      <c r="AD82" s="190">
        <f t="shared" si="22"/>
        <v>156.89655172413794</v>
      </c>
      <c r="AE82" s="190">
        <f t="shared" si="23"/>
        <v>137.93103448275863</v>
      </c>
      <c r="AF82" s="191">
        <f t="shared" si="24"/>
        <v>0</v>
      </c>
      <c r="AK82" s="368"/>
      <c r="AL82" s="189" t="s">
        <v>51</v>
      </c>
      <c r="AM82" s="11">
        <v>0</v>
      </c>
      <c r="AN82" s="11">
        <v>15</v>
      </c>
      <c r="AO82" s="11">
        <v>28</v>
      </c>
      <c r="AP82" s="11">
        <v>37</v>
      </c>
      <c r="AQ82" s="11">
        <v>41</v>
      </c>
      <c r="AR82" s="11">
        <v>41</v>
      </c>
      <c r="AS82" s="11">
        <v>44</v>
      </c>
      <c r="AT82" s="11">
        <v>41</v>
      </c>
      <c r="AU82" s="11">
        <v>41</v>
      </c>
      <c r="AV82" s="11">
        <v>81</v>
      </c>
      <c r="AW82" s="11">
        <v>182</v>
      </c>
      <c r="AX82" s="11">
        <v>160</v>
      </c>
      <c r="AY82" s="192">
        <v>0</v>
      </c>
    </row>
    <row r="83" spans="1:51" ht="13.5" thickBot="1">
      <c r="A83" s="183"/>
      <c r="B83" s="368"/>
      <c r="C83" s="189" t="s">
        <v>378</v>
      </c>
      <c r="D83" s="190">
        <v>0</v>
      </c>
      <c r="E83" s="190">
        <v>12.931034482758621</v>
      </c>
      <c r="F83" s="190">
        <v>24.13793103448276</v>
      </c>
      <c r="G83" s="190">
        <v>31.896551724137932</v>
      </c>
      <c r="H83" s="190">
        <v>35.3448275862069</v>
      </c>
      <c r="I83" s="190">
        <v>35.3448275862069</v>
      </c>
      <c r="J83" s="190">
        <v>37.931034482758626</v>
      </c>
      <c r="K83" s="190">
        <v>122.41379310344828</v>
      </c>
      <c r="L83" s="190">
        <v>268.1034482758621</v>
      </c>
      <c r="M83" s="190">
        <v>376.72413793103453</v>
      </c>
      <c r="N83" s="190">
        <v>404.3103448275862</v>
      </c>
      <c r="O83" s="190">
        <v>313.7931034482759</v>
      </c>
      <c r="P83" s="191">
        <v>0</v>
      </c>
      <c r="Q83" s="183"/>
      <c r="R83" s="369"/>
      <c r="S83" s="193" t="s">
        <v>53</v>
      </c>
      <c r="T83" s="194">
        <f t="shared" si="25"/>
        <v>0</v>
      </c>
      <c r="U83" s="194">
        <f t="shared" si="13"/>
        <v>56.896551724137936</v>
      </c>
      <c r="V83" s="194">
        <f t="shared" si="14"/>
        <v>181.0344827586207</v>
      </c>
      <c r="W83" s="194">
        <f t="shared" si="15"/>
        <v>336.2068965517242</v>
      </c>
      <c r="X83" s="194">
        <f t="shared" si="16"/>
        <v>413.7931034482759</v>
      </c>
      <c r="Y83" s="194">
        <f t="shared" si="17"/>
        <v>476.72413793103453</v>
      </c>
      <c r="Z83" s="194">
        <f t="shared" si="18"/>
        <v>495.68965517241384</v>
      </c>
      <c r="AA83" s="194">
        <f t="shared" si="19"/>
        <v>476.72413793103453</v>
      </c>
      <c r="AB83" s="194">
        <f t="shared" si="20"/>
        <v>413.7931034482759</v>
      </c>
      <c r="AC83" s="194">
        <f t="shared" si="21"/>
        <v>336.2068965517242</v>
      </c>
      <c r="AD83" s="194">
        <f t="shared" si="22"/>
        <v>181.0344827586207</v>
      </c>
      <c r="AE83" s="194">
        <f t="shared" si="23"/>
        <v>56.896551724137936</v>
      </c>
      <c r="AF83" s="195">
        <f t="shared" si="24"/>
        <v>0</v>
      </c>
      <c r="AK83" s="369"/>
      <c r="AL83" s="193" t="s">
        <v>53</v>
      </c>
      <c r="AM83" s="196">
        <v>0</v>
      </c>
      <c r="AN83" s="196">
        <v>66</v>
      </c>
      <c r="AO83" s="196">
        <v>210</v>
      </c>
      <c r="AP83" s="196">
        <v>390</v>
      </c>
      <c r="AQ83" s="196">
        <v>480</v>
      </c>
      <c r="AR83" s="196">
        <v>553</v>
      </c>
      <c r="AS83" s="196">
        <v>575</v>
      </c>
      <c r="AT83" s="196">
        <v>553</v>
      </c>
      <c r="AU83" s="196">
        <v>480</v>
      </c>
      <c r="AV83" s="196">
        <v>390</v>
      </c>
      <c r="AW83" s="196">
        <v>210</v>
      </c>
      <c r="AX83" s="196">
        <v>66</v>
      </c>
      <c r="AY83" s="197">
        <v>0</v>
      </c>
    </row>
    <row r="84" spans="1:51" ht="12.75" customHeight="1">
      <c r="A84" s="183"/>
      <c r="B84" s="368"/>
      <c r="C84" s="189" t="s">
        <v>380</v>
      </c>
      <c r="D84" s="190">
        <v>0</v>
      </c>
      <c r="E84" s="190">
        <v>0</v>
      </c>
      <c r="F84" s="190">
        <v>10.344827586206897</v>
      </c>
      <c r="G84" s="190">
        <v>18.965517241379313</v>
      </c>
      <c r="H84" s="190">
        <v>24.13793103448276</v>
      </c>
      <c r="I84" s="190">
        <v>26.724137931034484</v>
      </c>
      <c r="J84" s="190">
        <v>29.31034482758621</v>
      </c>
      <c r="K84" s="190">
        <v>93.96551724137932</v>
      </c>
      <c r="L84" s="190">
        <v>213.79310344827587</v>
      </c>
      <c r="M84" s="190">
        <v>283.62068965517244</v>
      </c>
      <c r="N84" s="190">
        <v>268.1034482758621</v>
      </c>
      <c r="O84" s="190">
        <v>198.27586206896552</v>
      </c>
      <c r="P84" s="191">
        <v>0</v>
      </c>
      <c r="Q84" s="183"/>
      <c r="R84" s="367" t="s">
        <v>380</v>
      </c>
      <c r="S84" s="184" t="s">
        <v>43</v>
      </c>
      <c r="T84" s="185">
        <f t="shared" si="25"/>
        <v>0</v>
      </c>
      <c r="U84" s="185">
        <f t="shared" si="13"/>
        <v>0</v>
      </c>
      <c r="V84" s="185">
        <f t="shared" si="14"/>
        <v>10.344827586206897</v>
      </c>
      <c r="W84" s="185">
        <f t="shared" si="15"/>
        <v>18.965517241379313</v>
      </c>
      <c r="X84" s="185">
        <f t="shared" si="16"/>
        <v>24.13793103448276</v>
      </c>
      <c r="Y84" s="185">
        <f t="shared" si="17"/>
        <v>26.724137931034484</v>
      </c>
      <c r="Z84" s="185">
        <f t="shared" si="18"/>
        <v>29.31034482758621</v>
      </c>
      <c r="AA84" s="185">
        <f t="shared" si="19"/>
        <v>26.724137931034484</v>
      </c>
      <c r="AB84" s="185">
        <f t="shared" si="20"/>
        <v>24.13793103448276</v>
      </c>
      <c r="AC84" s="185">
        <f t="shared" si="21"/>
        <v>18.965517241379313</v>
      </c>
      <c r="AD84" s="185">
        <f t="shared" si="22"/>
        <v>10.344827586206897</v>
      </c>
      <c r="AE84" s="185">
        <f t="shared" si="23"/>
        <v>0</v>
      </c>
      <c r="AF84" s="186">
        <f t="shared" si="24"/>
        <v>0</v>
      </c>
      <c r="AK84" s="367" t="s">
        <v>380</v>
      </c>
      <c r="AL84" s="184" t="s">
        <v>43</v>
      </c>
      <c r="AM84" s="187">
        <v>0</v>
      </c>
      <c r="AN84" s="187">
        <v>0</v>
      </c>
      <c r="AO84" s="187">
        <v>12</v>
      </c>
      <c r="AP84" s="187">
        <v>22</v>
      </c>
      <c r="AQ84" s="187">
        <v>28</v>
      </c>
      <c r="AR84" s="187">
        <v>31</v>
      </c>
      <c r="AS84" s="187">
        <v>34</v>
      </c>
      <c r="AT84" s="187">
        <v>31</v>
      </c>
      <c r="AU84" s="187">
        <v>28</v>
      </c>
      <c r="AV84" s="187">
        <v>22</v>
      </c>
      <c r="AW84" s="187">
        <v>12</v>
      </c>
      <c r="AX84" s="187">
        <v>0</v>
      </c>
      <c r="AY84" s="188">
        <v>0</v>
      </c>
    </row>
    <row r="85" spans="1:51" ht="12.75">
      <c r="A85" s="183"/>
      <c r="B85" s="368"/>
      <c r="C85" s="189" t="s">
        <v>382</v>
      </c>
      <c r="D85" s="190">
        <v>0</v>
      </c>
      <c r="E85" s="190">
        <v>0</v>
      </c>
      <c r="F85" s="190">
        <v>1.7241379310344829</v>
      </c>
      <c r="G85" s="190">
        <v>10.344827586206897</v>
      </c>
      <c r="H85" s="190">
        <v>16.379310344827587</v>
      </c>
      <c r="I85" s="190">
        <v>20.689655172413794</v>
      </c>
      <c r="J85" s="190">
        <v>24.13793103448276</v>
      </c>
      <c r="K85" s="190">
        <v>75</v>
      </c>
      <c r="L85" s="190">
        <v>154.31034482758622</v>
      </c>
      <c r="M85" s="190">
        <v>173.27586206896552</v>
      </c>
      <c r="N85" s="190">
        <v>137.93103448275863</v>
      </c>
      <c r="O85" s="190">
        <v>0</v>
      </c>
      <c r="P85" s="191">
        <v>0</v>
      </c>
      <c r="Q85" s="183"/>
      <c r="R85" s="368"/>
      <c r="S85" s="189" t="s">
        <v>49</v>
      </c>
      <c r="T85" s="190">
        <f t="shared" si="25"/>
        <v>0</v>
      </c>
      <c r="U85" s="190">
        <f t="shared" si="13"/>
        <v>77.58620689655173</v>
      </c>
      <c r="V85" s="190">
        <f t="shared" si="14"/>
        <v>54.31034482758621</v>
      </c>
      <c r="W85" s="190">
        <f t="shared" si="15"/>
        <v>18.965517241379313</v>
      </c>
      <c r="X85" s="190">
        <f t="shared" si="16"/>
        <v>24.13793103448276</v>
      </c>
      <c r="Y85" s="190">
        <f t="shared" si="17"/>
        <v>26.724137931034484</v>
      </c>
      <c r="Z85" s="190">
        <f t="shared" si="18"/>
        <v>29.31034482758621</v>
      </c>
      <c r="AA85" s="190">
        <f t="shared" si="19"/>
        <v>26.724137931034484</v>
      </c>
      <c r="AB85" s="190">
        <f t="shared" si="20"/>
        <v>24.13793103448276</v>
      </c>
      <c r="AC85" s="190">
        <f t="shared" si="21"/>
        <v>18.965517241379313</v>
      </c>
      <c r="AD85" s="190">
        <f t="shared" si="22"/>
        <v>10.344827586206897</v>
      </c>
      <c r="AE85" s="190">
        <f t="shared" si="23"/>
        <v>0</v>
      </c>
      <c r="AF85" s="191">
        <f t="shared" si="24"/>
        <v>0</v>
      </c>
      <c r="AK85" s="368"/>
      <c r="AL85" s="189" t="s">
        <v>49</v>
      </c>
      <c r="AM85" s="11">
        <v>0</v>
      </c>
      <c r="AN85" s="11">
        <v>90</v>
      </c>
      <c r="AO85" s="11">
        <v>63</v>
      </c>
      <c r="AP85" s="11">
        <v>22</v>
      </c>
      <c r="AQ85" s="11">
        <v>28</v>
      </c>
      <c r="AR85" s="11">
        <v>31</v>
      </c>
      <c r="AS85" s="11">
        <v>34</v>
      </c>
      <c r="AT85" s="11">
        <v>31</v>
      </c>
      <c r="AU85" s="11">
        <v>28</v>
      </c>
      <c r="AV85" s="11">
        <v>22</v>
      </c>
      <c r="AW85" s="11">
        <v>12</v>
      </c>
      <c r="AX85" s="11">
        <v>0</v>
      </c>
      <c r="AY85" s="192">
        <v>0</v>
      </c>
    </row>
    <row r="86" spans="1:51" ht="13.5" thickBot="1">
      <c r="A86" s="183"/>
      <c r="B86" s="369"/>
      <c r="C86" s="193" t="s">
        <v>383</v>
      </c>
      <c r="D86" s="194">
        <v>0</v>
      </c>
      <c r="E86" s="194">
        <v>0</v>
      </c>
      <c r="F86" s="194">
        <v>0</v>
      </c>
      <c r="G86" s="194">
        <v>7.758620689655173</v>
      </c>
      <c r="H86" s="194">
        <v>12.931034482758621</v>
      </c>
      <c r="I86" s="194">
        <v>16.379310344827587</v>
      </c>
      <c r="J86" s="194">
        <v>18.965517241379313</v>
      </c>
      <c r="K86" s="194">
        <v>62.06896551724138</v>
      </c>
      <c r="L86" s="194">
        <v>126.72413793103449</v>
      </c>
      <c r="M86" s="194">
        <v>73.27586206896552</v>
      </c>
      <c r="N86" s="194">
        <v>0</v>
      </c>
      <c r="O86" s="194">
        <v>0</v>
      </c>
      <c r="P86" s="195">
        <v>0</v>
      </c>
      <c r="Q86" s="183"/>
      <c r="R86" s="368"/>
      <c r="S86" s="189" t="s">
        <v>44</v>
      </c>
      <c r="T86" s="190">
        <f t="shared" si="25"/>
        <v>0</v>
      </c>
      <c r="U86" s="190">
        <f t="shared" si="13"/>
        <v>198.27586206896552</v>
      </c>
      <c r="V86" s="190">
        <f t="shared" si="14"/>
        <v>268.1034482758621</v>
      </c>
      <c r="W86" s="190">
        <f t="shared" si="15"/>
        <v>283.62068965517244</v>
      </c>
      <c r="X86" s="190">
        <f t="shared" si="16"/>
        <v>213.79310344827587</v>
      </c>
      <c r="Y86" s="190">
        <f t="shared" si="17"/>
        <v>93.96551724137932</v>
      </c>
      <c r="Z86" s="190">
        <f t="shared" si="18"/>
        <v>29.31034482758621</v>
      </c>
      <c r="AA86" s="190">
        <f t="shared" si="19"/>
        <v>26.724137931034484</v>
      </c>
      <c r="AB86" s="190">
        <f t="shared" si="20"/>
        <v>24.13793103448276</v>
      </c>
      <c r="AC86" s="190">
        <f t="shared" si="21"/>
        <v>18.965517241379313</v>
      </c>
      <c r="AD86" s="190">
        <f t="shared" si="22"/>
        <v>10.344827586206897</v>
      </c>
      <c r="AE86" s="190">
        <f t="shared" si="23"/>
        <v>0</v>
      </c>
      <c r="AF86" s="191">
        <f t="shared" si="24"/>
        <v>0</v>
      </c>
      <c r="AK86" s="368"/>
      <c r="AL86" s="189" t="s">
        <v>44</v>
      </c>
      <c r="AM86" s="11">
        <v>0</v>
      </c>
      <c r="AN86" s="11">
        <v>230</v>
      </c>
      <c r="AO86" s="11">
        <v>311</v>
      </c>
      <c r="AP86" s="11">
        <v>329</v>
      </c>
      <c r="AQ86" s="11">
        <v>248</v>
      </c>
      <c r="AR86" s="11">
        <v>109</v>
      </c>
      <c r="AS86" s="11">
        <v>34</v>
      </c>
      <c r="AT86" s="11">
        <v>31</v>
      </c>
      <c r="AU86" s="11">
        <v>28</v>
      </c>
      <c r="AV86" s="11">
        <v>22</v>
      </c>
      <c r="AW86" s="11">
        <v>12</v>
      </c>
      <c r="AX86" s="11">
        <v>0</v>
      </c>
      <c r="AY86" s="192">
        <v>0</v>
      </c>
    </row>
    <row r="87" spans="1:51" ht="12.75">
      <c r="A87" s="183"/>
      <c r="B87" s="367" t="s">
        <v>408</v>
      </c>
      <c r="C87" s="184" t="s">
        <v>384</v>
      </c>
      <c r="D87" s="185">
        <v>0</v>
      </c>
      <c r="E87" s="185">
        <v>0</v>
      </c>
      <c r="F87" s="185">
        <v>1.7241379310344829</v>
      </c>
      <c r="G87" s="185">
        <v>10.344827586206897</v>
      </c>
      <c r="H87" s="185">
        <v>16.379310344827587</v>
      </c>
      <c r="I87" s="185">
        <v>20.689655172413794</v>
      </c>
      <c r="J87" s="185">
        <v>24.13793103448276</v>
      </c>
      <c r="K87" s="185">
        <v>20.689655172413794</v>
      </c>
      <c r="L87" s="185">
        <v>16.379310344827587</v>
      </c>
      <c r="M87" s="185">
        <v>10.344827586206897</v>
      </c>
      <c r="N87" s="185">
        <v>12.931034482758621</v>
      </c>
      <c r="O87" s="185">
        <v>0</v>
      </c>
      <c r="P87" s="186">
        <v>0</v>
      </c>
      <c r="Q87" s="183"/>
      <c r="R87" s="368"/>
      <c r="S87" s="189" t="s">
        <v>52</v>
      </c>
      <c r="T87" s="190">
        <f t="shared" si="25"/>
        <v>0</v>
      </c>
      <c r="U87" s="190">
        <f t="shared" si="13"/>
        <v>187.0689655172414</v>
      </c>
      <c r="V87" s="190">
        <f t="shared" si="14"/>
        <v>300.86206896551727</v>
      </c>
      <c r="W87" s="190">
        <f t="shared" si="15"/>
        <v>393.1034482758621</v>
      </c>
      <c r="X87" s="190">
        <f t="shared" si="16"/>
        <v>425.00000000000006</v>
      </c>
      <c r="Y87" s="190">
        <f t="shared" si="17"/>
        <v>389.65517241379314</v>
      </c>
      <c r="Z87" s="190">
        <f t="shared" si="18"/>
        <v>311.2068965517242</v>
      </c>
      <c r="AA87" s="190">
        <f t="shared" si="19"/>
        <v>187.0689655172414</v>
      </c>
      <c r="AB87" s="190">
        <f t="shared" si="20"/>
        <v>64.65517241379311</v>
      </c>
      <c r="AC87" s="190">
        <f t="shared" si="21"/>
        <v>18.965517241379313</v>
      </c>
      <c r="AD87" s="190">
        <f t="shared" si="22"/>
        <v>10.344827586206897</v>
      </c>
      <c r="AE87" s="190">
        <f t="shared" si="23"/>
        <v>0</v>
      </c>
      <c r="AF87" s="191">
        <f t="shared" si="24"/>
        <v>0</v>
      </c>
      <c r="AK87" s="368"/>
      <c r="AL87" s="189" t="s">
        <v>52</v>
      </c>
      <c r="AM87" s="11">
        <v>0</v>
      </c>
      <c r="AN87" s="11">
        <v>217</v>
      </c>
      <c r="AO87" s="11">
        <v>349</v>
      </c>
      <c r="AP87" s="11">
        <v>456</v>
      </c>
      <c r="AQ87" s="11">
        <v>493</v>
      </c>
      <c r="AR87" s="11">
        <v>452</v>
      </c>
      <c r="AS87" s="11">
        <v>361</v>
      </c>
      <c r="AT87" s="11">
        <v>217</v>
      </c>
      <c r="AU87" s="11">
        <v>75</v>
      </c>
      <c r="AV87" s="11">
        <v>22</v>
      </c>
      <c r="AW87" s="11">
        <v>12</v>
      </c>
      <c r="AX87" s="11">
        <v>0</v>
      </c>
      <c r="AY87" s="192">
        <v>0</v>
      </c>
    </row>
    <row r="88" spans="1:51" ht="12.75">
      <c r="A88" s="183"/>
      <c r="B88" s="368"/>
      <c r="C88" s="189" t="s">
        <v>381</v>
      </c>
      <c r="D88" s="190">
        <v>0</v>
      </c>
      <c r="E88" s="190">
        <v>0</v>
      </c>
      <c r="F88" s="190">
        <v>10.344827586206897</v>
      </c>
      <c r="G88" s="190">
        <v>18.965517241379313</v>
      </c>
      <c r="H88" s="190">
        <v>24.13793103448276</v>
      </c>
      <c r="I88" s="190">
        <v>26.724137931034484</v>
      </c>
      <c r="J88" s="190">
        <v>29.31034482758621</v>
      </c>
      <c r="K88" s="190">
        <v>26.724137931034484</v>
      </c>
      <c r="L88" s="190">
        <v>24.13793103448276</v>
      </c>
      <c r="M88" s="190">
        <v>18.965517241379313</v>
      </c>
      <c r="N88" s="190">
        <v>54.31034482758621</v>
      </c>
      <c r="O88" s="190">
        <v>77.58620689655173</v>
      </c>
      <c r="P88" s="191">
        <v>0</v>
      </c>
      <c r="Q88" s="183"/>
      <c r="R88" s="368"/>
      <c r="S88" s="189" t="s">
        <v>46</v>
      </c>
      <c r="T88" s="190">
        <f t="shared" si="25"/>
        <v>0</v>
      </c>
      <c r="U88" s="190">
        <f t="shared" si="13"/>
        <v>45.689655172413794</v>
      </c>
      <c r="V88" s="190">
        <f t="shared" si="14"/>
        <v>143.1034482758621</v>
      </c>
      <c r="W88" s="190">
        <f t="shared" si="15"/>
        <v>268.1034482758621</v>
      </c>
      <c r="X88" s="190">
        <f t="shared" si="16"/>
        <v>370.68965517241384</v>
      </c>
      <c r="Y88" s="190">
        <f t="shared" si="17"/>
        <v>425.00000000000006</v>
      </c>
      <c r="Z88" s="190">
        <f t="shared" si="18"/>
        <v>451.72413793103453</v>
      </c>
      <c r="AA88" s="190">
        <f t="shared" si="19"/>
        <v>425.00000000000006</v>
      </c>
      <c r="AB88" s="190">
        <f t="shared" si="20"/>
        <v>370.68965517241384</v>
      </c>
      <c r="AC88" s="190">
        <f t="shared" si="21"/>
        <v>268.1034482758621</v>
      </c>
      <c r="AD88" s="190">
        <f t="shared" si="22"/>
        <v>143.1034482758621</v>
      </c>
      <c r="AE88" s="190">
        <f t="shared" si="23"/>
        <v>45.689655172413794</v>
      </c>
      <c r="AF88" s="191">
        <f t="shared" si="24"/>
        <v>0</v>
      </c>
      <c r="AK88" s="368"/>
      <c r="AL88" s="189" t="s">
        <v>52</v>
      </c>
      <c r="AM88" s="11">
        <v>0</v>
      </c>
      <c r="AN88" s="11">
        <v>53</v>
      </c>
      <c r="AO88" s="11">
        <v>166</v>
      </c>
      <c r="AP88" s="11">
        <v>311</v>
      </c>
      <c r="AQ88" s="11">
        <v>430</v>
      </c>
      <c r="AR88" s="11">
        <v>493</v>
      </c>
      <c r="AS88" s="11">
        <v>524</v>
      </c>
      <c r="AT88" s="11">
        <v>493</v>
      </c>
      <c r="AU88" s="11">
        <v>430</v>
      </c>
      <c r="AV88" s="11">
        <v>311</v>
      </c>
      <c r="AW88" s="11">
        <v>166</v>
      </c>
      <c r="AX88" s="11">
        <v>53</v>
      </c>
      <c r="AY88" s="192">
        <v>0</v>
      </c>
    </row>
    <row r="89" spans="1:51" ht="12.75">
      <c r="A89" s="183"/>
      <c r="B89" s="368"/>
      <c r="C89" s="189" t="s">
        <v>379</v>
      </c>
      <c r="D89" s="190">
        <v>0</v>
      </c>
      <c r="E89" s="190">
        <v>12.931034482758621</v>
      </c>
      <c r="F89" s="190">
        <v>24.13793103448276</v>
      </c>
      <c r="G89" s="190">
        <v>31.896551724137932</v>
      </c>
      <c r="H89" s="190">
        <v>35.3448275862069</v>
      </c>
      <c r="I89" s="190">
        <v>35.3448275862069</v>
      </c>
      <c r="J89" s="190">
        <v>37.931034482758626</v>
      </c>
      <c r="K89" s="190">
        <v>35.3448275862069</v>
      </c>
      <c r="L89" s="190">
        <v>35.3448275862069</v>
      </c>
      <c r="M89" s="190">
        <v>69.82758620689656</v>
      </c>
      <c r="N89" s="190">
        <v>156.89655172413794</v>
      </c>
      <c r="O89" s="190">
        <v>137.93103448275863</v>
      </c>
      <c r="P89" s="191">
        <v>0</v>
      </c>
      <c r="Q89" s="183"/>
      <c r="R89" s="368"/>
      <c r="S89" s="189" t="s">
        <v>50</v>
      </c>
      <c r="T89" s="190">
        <f t="shared" si="25"/>
        <v>0</v>
      </c>
      <c r="U89" s="190">
        <f t="shared" si="13"/>
        <v>0</v>
      </c>
      <c r="V89" s="190">
        <f t="shared" si="14"/>
        <v>10.344827586206897</v>
      </c>
      <c r="W89" s="190">
        <f t="shared" si="15"/>
        <v>18.965517241379313</v>
      </c>
      <c r="X89" s="190">
        <f t="shared" si="16"/>
        <v>64.65517241379311</v>
      </c>
      <c r="Y89" s="190">
        <f t="shared" si="17"/>
        <v>187.0689655172414</v>
      </c>
      <c r="Z89" s="190">
        <f t="shared" si="18"/>
        <v>311.2068965517242</v>
      </c>
      <c r="AA89" s="190">
        <f t="shared" si="19"/>
        <v>389.65517241379314</v>
      </c>
      <c r="AB89" s="190">
        <f t="shared" si="20"/>
        <v>425.00000000000006</v>
      </c>
      <c r="AC89" s="190">
        <f t="shared" si="21"/>
        <v>393.1034482758621</v>
      </c>
      <c r="AD89" s="190">
        <f t="shared" si="22"/>
        <v>300.86206896551727</v>
      </c>
      <c r="AE89" s="190">
        <f t="shared" si="23"/>
        <v>187.0689655172414</v>
      </c>
      <c r="AF89" s="191">
        <f t="shared" si="24"/>
        <v>0</v>
      </c>
      <c r="AK89" s="368"/>
      <c r="AL89" s="189" t="s">
        <v>50</v>
      </c>
      <c r="AM89" s="11">
        <v>0</v>
      </c>
      <c r="AN89" s="11">
        <v>0</v>
      </c>
      <c r="AO89" s="11">
        <v>12</v>
      </c>
      <c r="AP89" s="11">
        <v>22</v>
      </c>
      <c r="AQ89" s="11">
        <v>75</v>
      </c>
      <c r="AR89" s="11">
        <v>217</v>
      </c>
      <c r="AS89" s="11">
        <v>361</v>
      </c>
      <c r="AT89" s="11">
        <v>452</v>
      </c>
      <c r="AU89" s="11">
        <v>493</v>
      </c>
      <c r="AV89" s="11">
        <v>456</v>
      </c>
      <c r="AW89" s="11">
        <v>349</v>
      </c>
      <c r="AX89" s="11">
        <v>217</v>
      </c>
      <c r="AY89" s="192">
        <v>0</v>
      </c>
    </row>
    <row r="90" spans="1:51" ht="12.75">
      <c r="A90" s="183"/>
      <c r="B90" s="368"/>
      <c r="C90" s="189" t="s">
        <v>377</v>
      </c>
      <c r="D90" s="190">
        <v>7.758620689655173</v>
      </c>
      <c r="E90" s="190">
        <v>20.689655172413794</v>
      </c>
      <c r="F90" s="190">
        <v>31.896551724137932</v>
      </c>
      <c r="G90" s="190">
        <v>35.3448275862069</v>
      </c>
      <c r="H90" s="190">
        <v>37.931034482758626</v>
      </c>
      <c r="I90" s="190">
        <v>37.931034482758626</v>
      </c>
      <c r="J90" s="190">
        <v>37.931034482758626</v>
      </c>
      <c r="K90" s="190">
        <v>37.931034482758626</v>
      </c>
      <c r="L90" s="190">
        <v>43.10344827586207</v>
      </c>
      <c r="M90" s="190">
        <v>124.13793103448276</v>
      </c>
      <c r="N90" s="190">
        <v>222.41379310344828</v>
      </c>
      <c r="O90" s="190">
        <v>275.86206896551727</v>
      </c>
      <c r="P90" s="191">
        <v>183.6206896551724</v>
      </c>
      <c r="Q90" s="183"/>
      <c r="R90" s="368"/>
      <c r="S90" s="189" t="s">
        <v>45</v>
      </c>
      <c r="T90" s="190">
        <f t="shared" si="25"/>
        <v>0</v>
      </c>
      <c r="U90" s="190">
        <f t="shared" si="13"/>
        <v>0</v>
      </c>
      <c r="V90" s="190">
        <f t="shared" si="14"/>
        <v>10.344827586206897</v>
      </c>
      <c r="W90" s="190">
        <f t="shared" si="15"/>
        <v>18.965517241379313</v>
      </c>
      <c r="X90" s="190">
        <f t="shared" si="16"/>
        <v>24.13793103448276</v>
      </c>
      <c r="Y90" s="190">
        <f t="shared" si="17"/>
        <v>26.724137931034484</v>
      </c>
      <c r="Z90" s="190">
        <f t="shared" si="18"/>
        <v>29.31034482758621</v>
      </c>
      <c r="AA90" s="190">
        <f t="shared" si="19"/>
        <v>93.96551724137932</v>
      </c>
      <c r="AB90" s="190">
        <f t="shared" si="20"/>
        <v>213.79310344827587</v>
      </c>
      <c r="AC90" s="190">
        <f t="shared" si="21"/>
        <v>283.62068965517244</v>
      </c>
      <c r="AD90" s="190">
        <f t="shared" si="22"/>
        <v>268.1034482758621</v>
      </c>
      <c r="AE90" s="190">
        <f t="shared" si="23"/>
        <v>198.27586206896552</v>
      </c>
      <c r="AF90" s="191">
        <f t="shared" si="24"/>
        <v>0</v>
      </c>
      <c r="AK90" s="368"/>
      <c r="AL90" s="189" t="s">
        <v>45</v>
      </c>
      <c r="AM90" s="11">
        <v>0</v>
      </c>
      <c r="AN90" s="11">
        <v>0</v>
      </c>
      <c r="AO90" s="11">
        <v>12</v>
      </c>
      <c r="AP90" s="11">
        <v>22</v>
      </c>
      <c r="AQ90" s="11">
        <v>28</v>
      </c>
      <c r="AR90" s="11">
        <v>31</v>
      </c>
      <c r="AS90" s="11">
        <v>34</v>
      </c>
      <c r="AT90" s="11">
        <v>109</v>
      </c>
      <c r="AU90" s="11">
        <v>248</v>
      </c>
      <c r="AV90" s="11">
        <v>329</v>
      </c>
      <c r="AW90" s="11">
        <v>311</v>
      </c>
      <c r="AX90" s="11">
        <v>230</v>
      </c>
      <c r="AY90" s="192">
        <v>0</v>
      </c>
    </row>
    <row r="91" spans="1:51" ht="12.75">
      <c r="A91" s="183"/>
      <c r="B91" s="368"/>
      <c r="C91" s="189" t="s">
        <v>376</v>
      </c>
      <c r="D91" s="190">
        <v>12.931034482758621</v>
      </c>
      <c r="E91" s="190">
        <v>26.724137931034484</v>
      </c>
      <c r="F91" s="190">
        <v>31.896551724137932</v>
      </c>
      <c r="G91" s="190">
        <v>35.3448275862069</v>
      </c>
      <c r="H91" s="190">
        <v>37.931034482758626</v>
      </c>
      <c r="I91" s="190">
        <v>37.931034482758626</v>
      </c>
      <c r="J91" s="190">
        <v>37.931034482758626</v>
      </c>
      <c r="K91" s="190">
        <v>37.931034482758626</v>
      </c>
      <c r="L91" s="190">
        <v>69.82758620689656</v>
      </c>
      <c r="M91" s="190">
        <v>179.31034482758622</v>
      </c>
      <c r="N91" s="190">
        <v>283.62068965517244</v>
      </c>
      <c r="O91" s="190">
        <v>343.96551724137936</v>
      </c>
      <c r="P91" s="191">
        <v>287.0689655172414</v>
      </c>
      <c r="Q91" s="183"/>
      <c r="R91" s="368"/>
      <c r="S91" s="189" t="s">
        <v>51</v>
      </c>
      <c r="T91" s="190">
        <f t="shared" si="25"/>
        <v>0</v>
      </c>
      <c r="U91" s="190">
        <f t="shared" si="13"/>
        <v>0</v>
      </c>
      <c r="V91" s="190">
        <f t="shared" si="14"/>
        <v>10.344827586206897</v>
      </c>
      <c r="W91" s="190">
        <f t="shared" si="15"/>
        <v>18.965517241379313</v>
      </c>
      <c r="X91" s="190">
        <f t="shared" si="16"/>
        <v>24.13793103448276</v>
      </c>
      <c r="Y91" s="190">
        <f t="shared" si="17"/>
        <v>26.724137931034484</v>
      </c>
      <c r="Z91" s="190">
        <f t="shared" si="18"/>
        <v>29.31034482758621</v>
      </c>
      <c r="AA91" s="190">
        <f t="shared" si="19"/>
        <v>26.724137931034484</v>
      </c>
      <c r="AB91" s="190">
        <f t="shared" si="20"/>
        <v>24.13793103448276</v>
      </c>
      <c r="AC91" s="190">
        <f t="shared" si="21"/>
        <v>18.965517241379313</v>
      </c>
      <c r="AD91" s="190">
        <f t="shared" si="22"/>
        <v>54.31034482758621</v>
      </c>
      <c r="AE91" s="190">
        <f t="shared" si="23"/>
        <v>77.58620689655173</v>
      </c>
      <c r="AF91" s="191">
        <f t="shared" si="24"/>
        <v>0</v>
      </c>
      <c r="AK91" s="368"/>
      <c r="AL91" s="189" t="s">
        <v>51</v>
      </c>
      <c r="AM91" s="11">
        <v>0</v>
      </c>
      <c r="AN91" s="11">
        <v>0</v>
      </c>
      <c r="AO91" s="11">
        <v>12</v>
      </c>
      <c r="AP91" s="11">
        <v>22</v>
      </c>
      <c r="AQ91" s="11">
        <v>28</v>
      </c>
      <c r="AR91" s="11">
        <v>31</v>
      </c>
      <c r="AS91" s="11">
        <v>34</v>
      </c>
      <c r="AT91" s="11">
        <v>31</v>
      </c>
      <c r="AU91" s="11">
        <v>28</v>
      </c>
      <c r="AV91" s="11">
        <v>22</v>
      </c>
      <c r="AW91" s="11">
        <v>63</v>
      </c>
      <c r="AX91" s="11">
        <v>90</v>
      </c>
      <c r="AY91" s="192">
        <v>0</v>
      </c>
    </row>
    <row r="92" spans="1:51" ht="13.5" thickBot="1">
      <c r="A92" s="183"/>
      <c r="B92" s="368"/>
      <c r="C92" s="189" t="s">
        <v>54</v>
      </c>
      <c r="D92" s="190">
        <v>16.379310344827587</v>
      </c>
      <c r="E92" s="190">
        <v>26.724137931034484</v>
      </c>
      <c r="F92" s="190">
        <v>31.896551724137932</v>
      </c>
      <c r="G92" s="190">
        <v>35.3448275862069</v>
      </c>
      <c r="H92" s="190">
        <v>37.931034482758626</v>
      </c>
      <c r="I92" s="190">
        <v>37.931034482758626</v>
      </c>
      <c r="J92" s="190">
        <v>37.931034482758626</v>
      </c>
      <c r="K92" s="190">
        <v>37.931034482758626</v>
      </c>
      <c r="L92" s="190">
        <v>81.0344827586207</v>
      </c>
      <c r="M92" s="190">
        <v>198.27586206896552</v>
      </c>
      <c r="N92" s="190">
        <v>302.58620689655174</v>
      </c>
      <c r="O92" s="190">
        <v>360.3448275862069</v>
      </c>
      <c r="P92" s="191">
        <v>319.82758620689657</v>
      </c>
      <c r="Q92" s="183"/>
      <c r="R92" s="369"/>
      <c r="S92" s="193" t="s">
        <v>53</v>
      </c>
      <c r="T92" s="194">
        <f t="shared" si="25"/>
        <v>0</v>
      </c>
      <c r="U92" s="194">
        <f t="shared" si="13"/>
        <v>5.172413793103448</v>
      </c>
      <c r="V92" s="194">
        <f t="shared" si="14"/>
        <v>50.862068965517246</v>
      </c>
      <c r="W92" s="194">
        <f t="shared" si="15"/>
        <v>122.41379310344828</v>
      </c>
      <c r="X92" s="194">
        <f t="shared" si="16"/>
        <v>194.82758620689657</v>
      </c>
      <c r="Y92" s="194">
        <f t="shared" si="17"/>
        <v>232.75862068965517</v>
      </c>
      <c r="Z92" s="194">
        <f t="shared" si="18"/>
        <v>254.31034482758622</v>
      </c>
      <c r="AA92" s="194">
        <f t="shared" si="19"/>
        <v>232.75862068965517</v>
      </c>
      <c r="AB92" s="194">
        <f t="shared" si="20"/>
        <v>194.82758620689657</v>
      </c>
      <c r="AC92" s="194">
        <f t="shared" si="21"/>
        <v>122.41379310344828</v>
      </c>
      <c r="AD92" s="194">
        <f t="shared" si="22"/>
        <v>50.862068965517246</v>
      </c>
      <c r="AE92" s="194">
        <f t="shared" si="23"/>
        <v>5.172413793103448</v>
      </c>
      <c r="AF92" s="195">
        <f t="shared" si="24"/>
        <v>0</v>
      </c>
      <c r="AK92" s="369"/>
      <c r="AL92" s="193" t="s">
        <v>53</v>
      </c>
      <c r="AM92" s="196">
        <v>0</v>
      </c>
      <c r="AN92" s="196">
        <v>6</v>
      </c>
      <c r="AO92" s="196">
        <v>59</v>
      </c>
      <c r="AP92" s="196">
        <v>142</v>
      </c>
      <c r="AQ92" s="196">
        <v>226</v>
      </c>
      <c r="AR92" s="196">
        <v>270</v>
      </c>
      <c r="AS92" s="196">
        <v>295</v>
      </c>
      <c r="AT92" s="196">
        <v>270</v>
      </c>
      <c r="AU92" s="196">
        <v>226</v>
      </c>
      <c r="AV92" s="196">
        <v>142</v>
      </c>
      <c r="AW92" s="196">
        <v>59</v>
      </c>
      <c r="AX92" s="196">
        <v>6</v>
      </c>
      <c r="AY92" s="197">
        <v>0</v>
      </c>
    </row>
    <row r="93" spans="1:51" ht="12.75" customHeight="1">
      <c r="A93" s="183"/>
      <c r="B93" s="368"/>
      <c r="C93" s="189" t="s">
        <v>374</v>
      </c>
      <c r="D93" s="190">
        <v>12.931034482758621</v>
      </c>
      <c r="E93" s="190">
        <v>26.724137931034484</v>
      </c>
      <c r="F93" s="190">
        <v>31.896551724137932</v>
      </c>
      <c r="G93" s="190">
        <v>35.3448275862069</v>
      </c>
      <c r="H93" s="190">
        <v>37.931034482758626</v>
      </c>
      <c r="I93" s="190">
        <v>37.931034482758626</v>
      </c>
      <c r="J93" s="190">
        <v>37.931034482758626</v>
      </c>
      <c r="K93" s="190">
        <v>37.931034482758626</v>
      </c>
      <c r="L93" s="190">
        <v>69.82758620689656</v>
      </c>
      <c r="M93" s="190">
        <v>179.31034482758622</v>
      </c>
      <c r="N93" s="190">
        <v>283.62068965517244</v>
      </c>
      <c r="O93" s="190">
        <v>343.96551724137936</v>
      </c>
      <c r="P93" s="191">
        <v>287.0689655172414</v>
      </c>
      <c r="Q93" s="183"/>
      <c r="R93" s="367" t="s">
        <v>382</v>
      </c>
      <c r="S93" s="184" t="s">
        <v>43</v>
      </c>
      <c r="T93" s="185">
        <f t="shared" si="25"/>
        <v>0</v>
      </c>
      <c r="U93" s="185">
        <f t="shared" si="13"/>
        <v>0</v>
      </c>
      <c r="V93" s="185">
        <f t="shared" si="14"/>
        <v>1.7241379310344829</v>
      </c>
      <c r="W93" s="185">
        <f t="shared" si="15"/>
        <v>10.344827586206897</v>
      </c>
      <c r="X93" s="185">
        <f t="shared" si="16"/>
        <v>16.379310344827587</v>
      </c>
      <c r="Y93" s="185">
        <f t="shared" si="17"/>
        <v>20.689655172413794</v>
      </c>
      <c r="Z93" s="185">
        <f t="shared" si="18"/>
        <v>24.13793103448276</v>
      </c>
      <c r="AA93" s="185">
        <f t="shared" si="19"/>
        <v>20.689655172413794</v>
      </c>
      <c r="AB93" s="185">
        <f t="shared" si="20"/>
        <v>16.379310344827587</v>
      </c>
      <c r="AC93" s="185">
        <f t="shared" si="21"/>
        <v>10.344827586206897</v>
      </c>
      <c r="AD93" s="185">
        <f t="shared" si="22"/>
        <v>1.7241379310344829</v>
      </c>
      <c r="AE93" s="185">
        <f t="shared" si="23"/>
        <v>0</v>
      </c>
      <c r="AF93" s="186">
        <f t="shared" si="24"/>
        <v>0</v>
      </c>
      <c r="AK93" s="367" t="s">
        <v>382</v>
      </c>
      <c r="AL93" s="184" t="s">
        <v>43</v>
      </c>
      <c r="AM93" s="187">
        <v>0</v>
      </c>
      <c r="AN93" s="187">
        <v>0</v>
      </c>
      <c r="AO93" s="187">
        <v>2</v>
      </c>
      <c r="AP93" s="187">
        <v>12</v>
      </c>
      <c r="AQ93" s="187">
        <v>19</v>
      </c>
      <c r="AR93" s="187">
        <v>24</v>
      </c>
      <c r="AS93" s="187">
        <v>28</v>
      </c>
      <c r="AT93" s="187">
        <v>24</v>
      </c>
      <c r="AU93" s="187">
        <v>19</v>
      </c>
      <c r="AV93" s="187">
        <v>12</v>
      </c>
      <c r="AW93" s="187">
        <v>2</v>
      </c>
      <c r="AX93" s="187">
        <v>0</v>
      </c>
      <c r="AY93" s="188">
        <v>0</v>
      </c>
    </row>
    <row r="94" spans="1:51" ht="12.75">
      <c r="A94" s="183"/>
      <c r="B94" s="368"/>
      <c r="C94" s="189" t="s">
        <v>375</v>
      </c>
      <c r="D94" s="190">
        <v>7.758620689655173</v>
      </c>
      <c r="E94" s="190">
        <v>20.689655172413794</v>
      </c>
      <c r="F94" s="190">
        <v>31.896551724137932</v>
      </c>
      <c r="G94" s="190">
        <v>35.3448275862069</v>
      </c>
      <c r="H94" s="190">
        <v>37.931034482758626</v>
      </c>
      <c r="I94" s="190">
        <v>37.931034482758626</v>
      </c>
      <c r="J94" s="190">
        <v>37.931034482758626</v>
      </c>
      <c r="K94" s="190">
        <v>37.931034482758626</v>
      </c>
      <c r="L94" s="190">
        <v>43.10344827586207</v>
      </c>
      <c r="M94" s="190">
        <v>124.13793103448276</v>
      </c>
      <c r="N94" s="190">
        <v>222.41379310344828</v>
      </c>
      <c r="O94" s="190">
        <v>275.86206896551727</v>
      </c>
      <c r="P94" s="191">
        <v>183.6206896551724</v>
      </c>
      <c r="Q94" s="183"/>
      <c r="R94" s="368"/>
      <c r="S94" s="189" t="s">
        <v>49</v>
      </c>
      <c r="T94" s="190">
        <f t="shared" si="25"/>
        <v>0</v>
      </c>
      <c r="U94" s="190">
        <f t="shared" si="13"/>
        <v>0</v>
      </c>
      <c r="V94" s="190">
        <f t="shared" si="14"/>
        <v>12.931034482758621</v>
      </c>
      <c r="W94" s="190">
        <f t="shared" si="15"/>
        <v>10.344827586206897</v>
      </c>
      <c r="X94" s="190">
        <f t="shared" si="16"/>
        <v>16.379310344827587</v>
      </c>
      <c r="Y94" s="190">
        <f t="shared" si="17"/>
        <v>20.689655172413794</v>
      </c>
      <c r="Z94" s="190">
        <f t="shared" si="18"/>
        <v>24.13793103448276</v>
      </c>
      <c r="AA94" s="190">
        <f t="shared" si="19"/>
        <v>20.689655172413794</v>
      </c>
      <c r="AB94" s="190">
        <f t="shared" si="20"/>
        <v>16.379310344827587</v>
      </c>
      <c r="AC94" s="190">
        <f t="shared" si="21"/>
        <v>10.344827586206897</v>
      </c>
      <c r="AD94" s="190">
        <f t="shared" si="22"/>
        <v>1.7241379310344829</v>
      </c>
      <c r="AE94" s="190">
        <f t="shared" si="23"/>
        <v>0</v>
      </c>
      <c r="AF94" s="191">
        <f t="shared" si="24"/>
        <v>0</v>
      </c>
      <c r="AK94" s="368"/>
      <c r="AL94" s="189" t="s">
        <v>49</v>
      </c>
      <c r="AM94" s="11">
        <v>0</v>
      </c>
      <c r="AN94" s="11">
        <v>0</v>
      </c>
      <c r="AO94" s="11">
        <v>15</v>
      </c>
      <c r="AP94" s="11">
        <v>12</v>
      </c>
      <c r="AQ94" s="11">
        <v>19</v>
      </c>
      <c r="AR94" s="11">
        <v>24</v>
      </c>
      <c r="AS94" s="11">
        <v>28</v>
      </c>
      <c r="AT94" s="11">
        <v>24</v>
      </c>
      <c r="AU94" s="11">
        <v>19</v>
      </c>
      <c r="AV94" s="11">
        <v>12</v>
      </c>
      <c r="AW94" s="11">
        <v>2</v>
      </c>
      <c r="AX94" s="11">
        <v>0</v>
      </c>
      <c r="AY94" s="192">
        <v>0</v>
      </c>
    </row>
    <row r="95" spans="1:51" ht="12.75">
      <c r="A95" s="183"/>
      <c r="B95" s="368"/>
      <c r="C95" s="189" t="s">
        <v>378</v>
      </c>
      <c r="D95" s="190">
        <v>0</v>
      </c>
      <c r="E95" s="190">
        <v>12.931034482758621</v>
      </c>
      <c r="F95" s="190">
        <v>24.13793103448276</v>
      </c>
      <c r="G95" s="190">
        <v>31.896551724137932</v>
      </c>
      <c r="H95" s="190">
        <v>35.3448275862069</v>
      </c>
      <c r="I95" s="190">
        <v>35.3448275862069</v>
      </c>
      <c r="J95" s="190">
        <v>37.931034482758626</v>
      </c>
      <c r="K95" s="190">
        <v>35.3448275862069</v>
      </c>
      <c r="L95" s="190">
        <v>35.3448275862069</v>
      </c>
      <c r="M95" s="190">
        <v>69.82758620689656</v>
      </c>
      <c r="N95" s="190">
        <v>156.89655172413794</v>
      </c>
      <c r="O95" s="190">
        <v>137.93103448275863</v>
      </c>
      <c r="P95" s="191">
        <v>0</v>
      </c>
      <c r="Q95" s="183"/>
      <c r="R95" s="368"/>
      <c r="S95" s="189" t="s">
        <v>44</v>
      </c>
      <c r="T95" s="190">
        <f t="shared" si="25"/>
        <v>0</v>
      </c>
      <c r="U95" s="190">
        <f t="shared" si="13"/>
        <v>0</v>
      </c>
      <c r="V95" s="190">
        <f t="shared" si="14"/>
        <v>137.93103448275863</v>
      </c>
      <c r="W95" s="190">
        <f t="shared" si="15"/>
        <v>173.27586206896552</v>
      </c>
      <c r="X95" s="190">
        <f t="shared" si="16"/>
        <v>154.31034482758622</v>
      </c>
      <c r="Y95" s="190">
        <f t="shared" si="17"/>
        <v>75</v>
      </c>
      <c r="Z95" s="190">
        <f t="shared" si="18"/>
        <v>24.13793103448276</v>
      </c>
      <c r="AA95" s="190">
        <f t="shared" si="19"/>
        <v>20.689655172413794</v>
      </c>
      <c r="AB95" s="190">
        <f t="shared" si="20"/>
        <v>16.379310344827587</v>
      </c>
      <c r="AC95" s="190">
        <f t="shared" si="21"/>
        <v>10.344827586206897</v>
      </c>
      <c r="AD95" s="190">
        <f t="shared" si="22"/>
        <v>1.7241379310344829</v>
      </c>
      <c r="AE95" s="190">
        <f t="shared" si="23"/>
        <v>0</v>
      </c>
      <c r="AF95" s="191">
        <f t="shared" si="24"/>
        <v>0</v>
      </c>
      <c r="AK95" s="368"/>
      <c r="AL95" s="189" t="s">
        <v>44</v>
      </c>
      <c r="AM95" s="11">
        <v>0</v>
      </c>
      <c r="AN95" s="11">
        <v>0</v>
      </c>
      <c r="AO95" s="11">
        <v>160</v>
      </c>
      <c r="AP95" s="11">
        <v>201</v>
      </c>
      <c r="AQ95" s="11">
        <v>179</v>
      </c>
      <c r="AR95" s="11">
        <v>87</v>
      </c>
      <c r="AS95" s="11">
        <v>28</v>
      </c>
      <c r="AT95" s="11">
        <v>24</v>
      </c>
      <c r="AU95" s="11">
        <v>19</v>
      </c>
      <c r="AV95" s="11">
        <v>12</v>
      </c>
      <c r="AW95" s="11">
        <v>2</v>
      </c>
      <c r="AX95" s="11">
        <v>0</v>
      </c>
      <c r="AY95" s="192">
        <v>0</v>
      </c>
    </row>
    <row r="96" spans="1:51" ht="12.75">
      <c r="A96" s="183"/>
      <c r="B96" s="368"/>
      <c r="C96" s="189" t="s">
        <v>380</v>
      </c>
      <c r="D96" s="190">
        <v>0</v>
      </c>
      <c r="E96" s="190">
        <v>0</v>
      </c>
      <c r="F96" s="190">
        <v>10.344827586206897</v>
      </c>
      <c r="G96" s="190">
        <v>18.965517241379313</v>
      </c>
      <c r="H96" s="190">
        <v>24.13793103448276</v>
      </c>
      <c r="I96" s="190">
        <v>26.724137931034484</v>
      </c>
      <c r="J96" s="190">
        <v>29.31034482758621</v>
      </c>
      <c r="K96" s="190">
        <v>26.724137931034484</v>
      </c>
      <c r="L96" s="190">
        <v>24.13793103448276</v>
      </c>
      <c r="M96" s="190">
        <v>18.965517241379313</v>
      </c>
      <c r="N96" s="190">
        <v>54.31034482758621</v>
      </c>
      <c r="O96" s="190">
        <v>77.58620689655173</v>
      </c>
      <c r="P96" s="191">
        <v>0</v>
      </c>
      <c r="Q96" s="183"/>
      <c r="R96" s="368"/>
      <c r="S96" s="189" t="s">
        <v>52</v>
      </c>
      <c r="T96" s="190">
        <f t="shared" si="25"/>
        <v>0</v>
      </c>
      <c r="U96" s="190">
        <f t="shared" si="13"/>
        <v>0</v>
      </c>
      <c r="V96" s="190">
        <f t="shared" si="14"/>
        <v>168.1034482758621</v>
      </c>
      <c r="W96" s="190">
        <f t="shared" si="15"/>
        <v>256.89655172413796</v>
      </c>
      <c r="X96" s="190">
        <f t="shared" si="16"/>
        <v>343.96551724137936</v>
      </c>
      <c r="Y96" s="190">
        <f t="shared" si="17"/>
        <v>343.96551724137936</v>
      </c>
      <c r="Z96" s="190">
        <f t="shared" si="18"/>
        <v>289.65517241379314</v>
      </c>
      <c r="AA96" s="190">
        <f t="shared" si="19"/>
        <v>181.0344827586207</v>
      </c>
      <c r="AB96" s="190">
        <f t="shared" si="20"/>
        <v>56.896551724137936</v>
      </c>
      <c r="AC96" s="190">
        <f t="shared" si="21"/>
        <v>10.344827586206897</v>
      </c>
      <c r="AD96" s="190">
        <f t="shared" si="22"/>
        <v>1.7241379310344829</v>
      </c>
      <c r="AE96" s="190">
        <f t="shared" si="23"/>
        <v>0</v>
      </c>
      <c r="AF96" s="191">
        <f t="shared" si="24"/>
        <v>0</v>
      </c>
      <c r="AK96" s="368"/>
      <c r="AL96" s="189" t="s">
        <v>52</v>
      </c>
      <c r="AM96" s="11">
        <v>0</v>
      </c>
      <c r="AN96" s="11">
        <v>0</v>
      </c>
      <c r="AO96" s="11">
        <v>195</v>
      </c>
      <c r="AP96" s="11">
        <v>298</v>
      </c>
      <c r="AQ96" s="11">
        <v>399</v>
      </c>
      <c r="AR96" s="11">
        <v>399</v>
      </c>
      <c r="AS96" s="11">
        <v>336</v>
      </c>
      <c r="AT96" s="11">
        <v>210</v>
      </c>
      <c r="AU96" s="11">
        <v>66</v>
      </c>
      <c r="AV96" s="11">
        <v>12</v>
      </c>
      <c r="AW96" s="11">
        <v>2</v>
      </c>
      <c r="AX96" s="11">
        <v>0</v>
      </c>
      <c r="AY96" s="192">
        <v>0</v>
      </c>
    </row>
    <row r="97" spans="1:51" ht="12.75">
      <c r="A97" s="183"/>
      <c r="B97" s="368"/>
      <c r="C97" s="189" t="s">
        <v>382</v>
      </c>
      <c r="D97" s="190">
        <v>0</v>
      </c>
      <c r="E97" s="190">
        <v>0</v>
      </c>
      <c r="F97" s="190">
        <v>1.7241379310344829</v>
      </c>
      <c r="G97" s="190">
        <v>10.344827586206897</v>
      </c>
      <c r="H97" s="190">
        <v>16.379310344827587</v>
      </c>
      <c r="I97" s="190">
        <v>20.689655172413794</v>
      </c>
      <c r="J97" s="190">
        <v>24.13793103448276</v>
      </c>
      <c r="K97" s="190">
        <v>20.689655172413794</v>
      </c>
      <c r="L97" s="190">
        <v>16.379310344827587</v>
      </c>
      <c r="M97" s="190">
        <v>10.344827586206897</v>
      </c>
      <c r="N97" s="190">
        <v>12.931034482758621</v>
      </c>
      <c r="O97" s="190">
        <v>0</v>
      </c>
      <c r="P97" s="191">
        <v>0</v>
      </c>
      <c r="Q97" s="183"/>
      <c r="R97" s="368"/>
      <c r="S97" s="189" t="s">
        <v>46</v>
      </c>
      <c r="T97" s="190">
        <f t="shared" si="25"/>
        <v>0</v>
      </c>
      <c r="U97" s="190">
        <f t="shared" si="13"/>
        <v>0</v>
      </c>
      <c r="V97" s="190">
        <f t="shared" si="14"/>
        <v>92.24137931034484</v>
      </c>
      <c r="W97" s="190">
        <f t="shared" si="15"/>
        <v>188.79310344827587</v>
      </c>
      <c r="X97" s="190">
        <f t="shared" si="16"/>
        <v>313.7931034482759</v>
      </c>
      <c r="Y97" s="190">
        <f t="shared" si="17"/>
        <v>387.0689655172414</v>
      </c>
      <c r="Z97" s="190">
        <f t="shared" si="18"/>
        <v>413.7931034482759</v>
      </c>
      <c r="AA97" s="190">
        <f t="shared" si="19"/>
        <v>387.0689655172414</v>
      </c>
      <c r="AB97" s="190">
        <f t="shared" si="20"/>
        <v>313.7931034482759</v>
      </c>
      <c r="AC97" s="190">
        <f t="shared" si="21"/>
        <v>188.79310344827587</v>
      </c>
      <c r="AD97" s="190">
        <f t="shared" si="22"/>
        <v>92.24137931034484</v>
      </c>
      <c r="AE97" s="190">
        <f t="shared" si="23"/>
        <v>0</v>
      </c>
      <c r="AF97" s="191">
        <f t="shared" si="24"/>
        <v>0</v>
      </c>
      <c r="AK97" s="368"/>
      <c r="AL97" s="189" t="s">
        <v>52</v>
      </c>
      <c r="AM97" s="11">
        <v>0</v>
      </c>
      <c r="AN97" s="11">
        <v>0</v>
      </c>
      <c r="AO97" s="11">
        <v>107</v>
      </c>
      <c r="AP97" s="11">
        <v>219</v>
      </c>
      <c r="AQ97" s="11">
        <v>364</v>
      </c>
      <c r="AR97" s="11">
        <v>449</v>
      </c>
      <c r="AS97" s="11">
        <v>480</v>
      </c>
      <c r="AT97" s="11">
        <v>449</v>
      </c>
      <c r="AU97" s="11">
        <v>364</v>
      </c>
      <c r="AV97" s="11">
        <v>219</v>
      </c>
      <c r="AW97" s="11">
        <v>107</v>
      </c>
      <c r="AX97" s="11">
        <v>0</v>
      </c>
      <c r="AY97" s="192">
        <v>0</v>
      </c>
    </row>
    <row r="98" spans="1:51" ht="13.5" thickBot="1">
      <c r="A98" s="183"/>
      <c r="B98" s="369"/>
      <c r="C98" s="193" t="s">
        <v>383</v>
      </c>
      <c r="D98" s="194">
        <v>0</v>
      </c>
      <c r="E98" s="194">
        <v>0</v>
      </c>
      <c r="F98" s="194">
        <v>0</v>
      </c>
      <c r="G98" s="194">
        <v>7.758620689655173</v>
      </c>
      <c r="H98" s="194">
        <v>12.931034482758621</v>
      </c>
      <c r="I98" s="194">
        <v>16.379310344827587</v>
      </c>
      <c r="J98" s="194">
        <v>18.965517241379313</v>
      </c>
      <c r="K98" s="194">
        <v>16.379310344827587</v>
      </c>
      <c r="L98" s="194">
        <v>38.793103448275865</v>
      </c>
      <c r="M98" s="194">
        <v>7.758620689655173</v>
      </c>
      <c r="N98" s="194">
        <v>0</v>
      </c>
      <c r="O98" s="194">
        <v>0</v>
      </c>
      <c r="P98" s="195">
        <v>0</v>
      </c>
      <c r="Q98" s="183"/>
      <c r="R98" s="368"/>
      <c r="S98" s="189" t="s">
        <v>50</v>
      </c>
      <c r="T98" s="190">
        <f t="shared" si="25"/>
        <v>0</v>
      </c>
      <c r="U98" s="190">
        <f t="shared" si="13"/>
        <v>0</v>
      </c>
      <c r="V98" s="190">
        <f t="shared" si="14"/>
        <v>1.7241379310344829</v>
      </c>
      <c r="W98" s="190">
        <f t="shared" si="15"/>
        <v>10.344827586206897</v>
      </c>
      <c r="X98" s="190">
        <f t="shared" si="16"/>
        <v>56.896551724137936</v>
      </c>
      <c r="Y98" s="190">
        <f t="shared" si="17"/>
        <v>181.0344827586207</v>
      </c>
      <c r="Z98" s="190">
        <f t="shared" si="18"/>
        <v>289.65517241379314</v>
      </c>
      <c r="AA98" s="190">
        <f t="shared" si="19"/>
        <v>343.96551724137936</v>
      </c>
      <c r="AB98" s="190">
        <f t="shared" si="20"/>
        <v>343.96551724137936</v>
      </c>
      <c r="AC98" s="190">
        <f t="shared" si="21"/>
        <v>256.89655172413796</v>
      </c>
      <c r="AD98" s="190">
        <f t="shared" si="22"/>
        <v>168.1034482758621</v>
      </c>
      <c r="AE98" s="190">
        <f t="shared" si="23"/>
        <v>0</v>
      </c>
      <c r="AF98" s="191">
        <f t="shared" si="24"/>
        <v>0</v>
      </c>
      <c r="AK98" s="368"/>
      <c r="AL98" s="189" t="s">
        <v>50</v>
      </c>
      <c r="AM98" s="11">
        <v>0</v>
      </c>
      <c r="AN98" s="11">
        <v>0</v>
      </c>
      <c r="AO98" s="11">
        <v>2</v>
      </c>
      <c r="AP98" s="11">
        <v>12</v>
      </c>
      <c r="AQ98" s="11">
        <v>66</v>
      </c>
      <c r="AR98" s="11">
        <v>210</v>
      </c>
      <c r="AS98" s="11">
        <v>336</v>
      </c>
      <c r="AT98" s="11">
        <v>399</v>
      </c>
      <c r="AU98" s="11">
        <v>399</v>
      </c>
      <c r="AV98" s="11">
        <v>298</v>
      </c>
      <c r="AW98" s="11">
        <v>195</v>
      </c>
      <c r="AX98" s="11">
        <v>0</v>
      </c>
      <c r="AY98" s="192">
        <v>0</v>
      </c>
    </row>
    <row r="99" spans="1:51" ht="12.75">
      <c r="A99" s="183"/>
      <c r="B99" s="367" t="s">
        <v>409</v>
      </c>
      <c r="C99" s="184" t="s">
        <v>384</v>
      </c>
      <c r="D99" s="185">
        <v>0</v>
      </c>
      <c r="E99" s="185">
        <v>0</v>
      </c>
      <c r="F99" s="185">
        <v>10.344827586206897</v>
      </c>
      <c r="G99" s="185">
        <v>35.3448275862069</v>
      </c>
      <c r="H99" s="185">
        <v>81.0344827586207</v>
      </c>
      <c r="I99" s="185">
        <v>126.72413793103449</v>
      </c>
      <c r="J99" s="185">
        <v>143.1034482758621</v>
      </c>
      <c r="K99" s="185">
        <v>126.72413793103449</v>
      </c>
      <c r="L99" s="185">
        <v>81.0344827586207</v>
      </c>
      <c r="M99" s="185">
        <v>35.3448275862069</v>
      </c>
      <c r="N99" s="185">
        <v>10.344827586206897</v>
      </c>
      <c r="O99" s="185">
        <v>0</v>
      </c>
      <c r="P99" s="186">
        <v>0</v>
      </c>
      <c r="Q99" s="183"/>
      <c r="R99" s="368"/>
      <c r="S99" s="189" t="s">
        <v>45</v>
      </c>
      <c r="T99" s="190">
        <f t="shared" si="25"/>
        <v>0</v>
      </c>
      <c r="U99" s="190">
        <f t="shared" si="13"/>
        <v>0</v>
      </c>
      <c r="V99" s="190">
        <f t="shared" si="14"/>
        <v>1.7241379310344829</v>
      </c>
      <c r="W99" s="190">
        <f t="shared" si="15"/>
        <v>10.344827586206897</v>
      </c>
      <c r="X99" s="190">
        <f t="shared" si="16"/>
        <v>16.379310344827587</v>
      </c>
      <c r="Y99" s="190">
        <f t="shared" si="17"/>
        <v>20.689655172413794</v>
      </c>
      <c r="Z99" s="190">
        <f t="shared" si="18"/>
        <v>24.13793103448276</v>
      </c>
      <c r="AA99" s="190">
        <f t="shared" si="19"/>
        <v>75</v>
      </c>
      <c r="AB99" s="190">
        <f t="shared" si="20"/>
        <v>154.31034482758622</v>
      </c>
      <c r="AC99" s="190">
        <f t="shared" si="21"/>
        <v>173.27586206896552</v>
      </c>
      <c r="AD99" s="190">
        <f t="shared" si="22"/>
        <v>137.93103448275863</v>
      </c>
      <c r="AE99" s="190">
        <f t="shared" si="23"/>
        <v>0</v>
      </c>
      <c r="AF99" s="191">
        <f t="shared" si="24"/>
        <v>0</v>
      </c>
      <c r="AK99" s="368"/>
      <c r="AL99" s="189" t="s">
        <v>45</v>
      </c>
      <c r="AM99" s="11">
        <v>0</v>
      </c>
      <c r="AN99" s="11">
        <v>0</v>
      </c>
      <c r="AO99" s="11">
        <v>2</v>
      </c>
      <c r="AP99" s="11">
        <v>12</v>
      </c>
      <c r="AQ99" s="11">
        <v>19</v>
      </c>
      <c r="AR99" s="11">
        <v>24</v>
      </c>
      <c r="AS99" s="11">
        <v>28</v>
      </c>
      <c r="AT99" s="11">
        <v>87</v>
      </c>
      <c r="AU99" s="11">
        <v>179</v>
      </c>
      <c r="AV99" s="11">
        <v>201</v>
      </c>
      <c r="AW99" s="11">
        <v>160</v>
      </c>
      <c r="AX99" s="11">
        <v>0</v>
      </c>
      <c r="AY99" s="192">
        <v>0</v>
      </c>
    </row>
    <row r="100" spans="1:51" ht="12.75">
      <c r="A100" s="183"/>
      <c r="B100" s="368"/>
      <c r="C100" s="189" t="s">
        <v>381</v>
      </c>
      <c r="D100" s="190">
        <v>0</v>
      </c>
      <c r="E100" s="190">
        <v>5.172413793103448</v>
      </c>
      <c r="F100" s="190">
        <v>50.862068965517246</v>
      </c>
      <c r="G100" s="190">
        <v>122.41379310344828</v>
      </c>
      <c r="H100" s="190">
        <v>194.82758620689657</v>
      </c>
      <c r="I100" s="190">
        <v>232.75862068965517</v>
      </c>
      <c r="J100" s="190">
        <v>254.31034482758622</v>
      </c>
      <c r="K100" s="190">
        <v>232.75862068965517</v>
      </c>
      <c r="L100" s="190">
        <v>194.82758620689657</v>
      </c>
      <c r="M100" s="190">
        <v>122.41379310344828</v>
      </c>
      <c r="N100" s="190">
        <v>50.862068965517246</v>
      </c>
      <c r="O100" s="190">
        <v>5.172413793103448</v>
      </c>
      <c r="P100" s="191">
        <v>0</v>
      </c>
      <c r="Q100" s="183"/>
      <c r="R100" s="368"/>
      <c r="S100" s="189" t="s">
        <v>51</v>
      </c>
      <c r="T100" s="190">
        <f t="shared" si="25"/>
        <v>0</v>
      </c>
      <c r="U100" s="190">
        <f t="shared" si="13"/>
        <v>0</v>
      </c>
      <c r="V100" s="190">
        <f t="shared" si="14"/>
        <v>1.7241379310344829</v>
      </c>
      <c r="W100" s="190">
        <f t="shared" si="15"/>
        <v>10.344827586206897</v>
      </c>
      <c r="X100" s="190">
        <f t="shared" si="16"/>
        <v>16.379310344827587</v>
      </c>
      <c r="Y100" s="190">
        <f t="shared" si="17"/>
        <v>20.689655172413794</v>
      </c>
      <c r="Z100" s="190">
        <f t="shared" si="18"/>
        <v>24.13793103448276</v>
      </c>
      <c r="AA100" s="190">
        <f t="shared" si="19"/>
        <v>20.689655172413794</v>
      </c>
      <c r="AB100" s="190">
        <f t="shared" si="20"/>
        <v>16.379310344827587</v>
      </c>
      <c r="AC100" s="190">
        <f t="shared" si="21"/>
        <v>10.344827586206897</v>
      </c>
      <c r="AD100" s="190">
        <f t="shared" si="22"/>
        <v>12.931034482758621</v>
      </c>
      <c r="AE100" s="190">
        <f t="shared" si="23"/>
        <v>0</v>
      </c>
      <c r="AF100" s="191">
        <f t="shared" si="24"/>
        <v>0</v>
      </c>
      <c r="AK100" s="368"/>
      <c r="AL100" s="189" t="s">
        <v>51</v>
      </c>
      <c r="AM100" s="11">
        <v>0</v>
      </c>
      <c r="AN100" s="11">
        <v>0</v>
      </c>
      <c r="AO100" s="11">
        <v>2</v>
      </c>
      <c r="AP100" s="11">
        <v>12</v>
      </c>
      <c r="AQ100" s="11">
        <v>19</v>
      </c>
      <c r="AR100" s="11">
        <v>24</v>
      </c>
      <c r="AS100" s="11">
        <v>28</v>
      </c>
      <c r="AT100" s="11">
        <v>24</v>
      </c>
      <c r="AU100" s="11">
        <v>19</v>
      </c>
      <c r="AV100" s="11">
        <v>12</v>
      </c>
      <c r="AW100" s="11">
        <v>15</v>
      </c>
      <c r="AX100" s="11">
        <v>0</v>
      </c>
      <c r="AY100" s="192">
        <v>0</v>
      </c>
    </row>
    <row r="101" spans="1:51" ht="13.5" thickBot="1">
      <c r="A101" s="183"/>
      <c r="B101" s="368"/>
      <c r="C101" s="189" t="s">
        <v>379</v>
      </c>
      <c r="D101" s="190">
        <v>0</v>
      </c>
      <c r="E101" s="190">
        <v>56.896551724137936</v>
      </c>
      <c r="F101" s="190">
        <v>181.0344827586207</v>
      </c>
      <c r="G101" s="190">
        <v>336.2068965517242</v>
      </c>
      <c r="H101" s="190">
        <v>413.7931034482759</v>
      </c>
      <c r="I101" s="190">
        <v>476.72413793103453</v>
      </c>
      <c r="J101" s="190">
        <v>495.68965517241384</v>
      </c>
      <c r="K101" s="190">
        <v>476.72413793103453</v>
      </c>
      <c r="L101" s="190">
        <v>413.7931034482759</v>
      </c>
      <c r="M101" s="190">
        <v>336.2068965517242</v>
      </c>
      <c r="N101" s="190">
        <v>181.0344827586207</v>
      </c>
      <c r="O101" s="190">
        <v>56.896551724137936</v>
      </c>
      <c r="P101" s="191">
        <v>0</v>
      </c>
      <c r="Q101" s="183"/>
      <c r="R101" s="369"/>
      <c r="S101" s="193" t="s">
        <v>53</v>
      </c>
      <c r="T101" s="194">
        <f t="shared" si="25"/>
        <v>0</v>
      </c>
      <c r="U101" s="194">
        <f t="shared" si="13"/>
        <v>0</v>
      </c>
      <c r="V101" s="194">
        <f t="shared" si="14"/>
        <v>10.344827586206897</v>
      </c>
      <c r="W101" s="194">
        <f t="shared" si="15"/>
        <v>35.3448275862069</v>
      </c>
      <c r="X101" s="194">
        <f t="shared" si="16"/>
        <v>81.0344827586207</v>
      </c>
      <c r="Y101" s="194">
        <f t="shared" si="17"/>
        <v>126.72413793103449</v>
      </c>
      <c r="Z101" s="194">
        <f t="shared" si="18"/>
        <v>143.1034482758621</v>
      </c>
      <c r="AA101" s="194">
        <f t="shared" si="19"/>
        <v>126.72413793103449</v>
      </c>
      <c r="AB101" s="194">
        <f t="shared" si="20"/>
        <v>81.0344827586207</v>
      </c>
      <c r="AC101" s="194">
        <f t="shared" si="21"/>
        <v>35.3448275862069</v>
      </c>
      <c r="AD101" s="194">
        <f t="shared" si="22"/>
        <v>10.344827586206897</v>
      </c>
      <c r="AE101" s="194">
        <f t="shared" si="23"/>
        <v>0</v>
      </c>
      <c r="AF101" s="195">
        <f t="shared" si="24"/>
        <v>0</v>
      </c>
      <c r="AK101" s="369"/>
      <c r="AL101" s="193" t="s">
        <v>53</v>
      </c>
      <c r="AM101" s="196">
        <v>0</v>
      </c>
      <c r="AN101" s="196">
        <v>0</v>
      </c>
      <c r="AO101" s="196">
        <v>12</v>
      </c>
      <c r="AP101" s="196">
        <v>41</v>
      </c>
      <c r="AQ101" s="196">
        <v>94</v>
      </c>
      <c r="AR101" s="196">
        <v>147</v>
      </c>
      <c r="AS101" s="196">
        <v>166</v>
      </c>
      <c r="AT101" s="196">
        <v>147</v>
      </c>
      <c r="AU101" s="196">
        <v>94</v>
      </c>
      <c r="AV101" s="196">
        <v>41</v>
      </c>
      <c r="AW101" s="196">
        <v>12</v>
      </c>
      <c r="AX101" s="196">
        <v>0</v>
      </c>
      <c r="AY101" s="197">
        <v>0</v>
      </c>
    </row>
    <row r="102" spans="1:51" ht="12.75" customHeight="1">
      <c r="A102" s="183"/>
      <c r="B102" s="368"/>
      <c r="C102" s="189" t="s">
        <v>377</v>
      </c>
      <c r="D102" s="190">
        <v>24.13793103448276</v>
      </c>
      <c r="E102" s="190">
        <v>126.72413793103449</v>
      </c>
      <c r="F102" s="190">
        <v>270.68965517241384</v>
      </c>
      <c r="G102" s="190">
        <v>406.0344827586207</v>
      </c>
      <c r="H102" s="190">
        <v>500.86206896551727</v>
      </c>
      <c r="I102" s="190">
        <v>556.0344827586207</v>
      </c>
      <c r="J102" s="190">
        <v>580.1724137931035</v>
      </c>
      <c r="K102" s="190">
        <v>556.0344827586207</v>
      </c>
      <c r="L102" s="190">
        <v>500.86206896551727</v>
      </c>
      <c r="M102" s="190">
        <v>406.0344827586207</v>
      </c>
      <c r="N102" s="190">
        <v>270.68965517241384</v>
      </c>
      <c r="O102" s="190">
        <v>126.72413793103449</v>
      </c>
      <c r="P102" s="191">
        <v>24.13793103448276</v>
      </c>
      <c r="Q102" s="183"/>
      <c r="R102" s="367" t="s">
        <v>383</v>
      </c>
      <c r="S102" s="184" t="s">
        <v>43</v>
      </c>
      <c r="T102" s="185">
        <f t="shared" si="25"/>
        <v>0</v>
      </c>
      <c r="U102" s="185">
        <f t="shared" si="13"/>
        <v>0</v>
      </c>
      <c r="V102" s="185">
        <f t="shared" si="14"/>
        <v>0</v>
      </c>
      <c r="W102" s="185">
        <f t="shared" si="15"/>
        <v>7.758620689655173</v>
      </c>
      <c r="X102" s="185">
        <f t="shared" si="16"/>
        <v>12.931034482758621</v>
      </c>
      <c r="Y102" s="185">
        <f t="shared" si="17"/>
        <v>16.379310344827587</v>
      </c>
      <c r="Z102" s="185">
        <f t="shared" si="18"/>
        <v>18.965517241379313</v>
      </c>
      <c r="AA102" s="185">
        <f t="shared" si="19"/>
        <v>16.379310344827587</v>
      </c>
      <c r="AB102" s="185">
        <f t="shared" si="20"/>
        <v>12.931034482758621</v>
      </c>
      <c r="AC102" s="185">
        <f t="shared" si="21"/>
        <v>7.758620689655173</v>
      </c>
      <c r="AD102" s="185">
        <f t="shared" si="22"/>
        <v>0</v>
      </c>
      <c r="AE102" s="185">
        <f t="shared" si="23"/>
        <v>0</v>
      </c>
      <c r="AF102" s="186">
        <f t="shared" si="24"/>
        <v>0</v>
      </c>
      <c r="AK102" s="367" t="s">
        <v>383</v>
      </c>
      <c r="AL102" s="184" t="s">
        <v>43</v>
      </c>
      <c r="AM102" s="187">
        <v>0</v>
      </c>
      <c r="AN102" s="187">
        <v>0</v>
      </c>
      <c r="AO102" s="187">
        <v>0</v>
      </c>
      <c r="AP102" s="187">
        <v>9</v>
      </c>
      <c r="AQ102" s="187">
        <v>15</v>
      </c>
      <c r="AR102" s="187">
        <v>19</v>
      </c>
      <c r="AS102" s="187">
        <v>22</v>
      </c>
      <c r="AT102" s="187">
        <v>19</v>
      </c>
      <c r="AU102" s="187">
        <v>15</v>
      </c>
      <c r="AV102" s="187">
        <v>9</v>
      </c>
      <c r="AW102" s="187">
        <v>0</v>
      </c>
      <c r="AX102" s="187">
        <v>0</v>
      </c>
      <c r="AY102" s="188">
        <v>0</v>
      </c>
    </row>
    <row r="103" spans="1:51" ht="12.75">
      <c r="A103" s="183"/>
      <c r="B103" s="368"/>
      <c r="C103" s="189" t="s">
        <v>376</v>
      </c>
      <c r="D103" s="190">
        <v>64.65517241379311</v>
      </c>
      <c r="E103" s="190">
        <v>198.27586206896552</v>
      </c>
      <c r="F103" s="190">
        <v>341.3793103448276</v>
      </c>
      <c r="G103" s="190">
        <v>462.93103448275866</v>
      </c>
      <c r="H103" s="190">
        <v>550</v>
      </c>
      <c r="I103" s="190">
        <v>610.344827586207</v>
      </c>
      <c r="J103" s="190">
        <v>631.0344827586207</v>
      </c>
      <c r="K103" s="190">
        <v>610.344827586207</v>
      </c>
      <c r="L103" s="190">
        <v>550</v>
      </c>
      <c r="M103" s="190">
        <v>462.93103448275866</v>
      </c>
      <c r="N103" s="190">
        <v>341.3793103448276</v>
      </c>
      <c r="O103" s="190">
        <v>198.27586206896552</v>
      </c>
      <c r="P103" s="191">
        <v>64.65517241379311</v>
      </c>
      <c r="Q103" s="183"/>
      <c r="R103" s="368"/>
      <c r="S103" s="189" t="s">
        <v>49</v>
      </c>
      <c r="T103" s="190">
        <f t="shared" si="25"/>
        <v>0</v>
      </c>
      <c r="U103" s="190">
        <f t="shared" si="13"/>
        <v>0</v>
      </c>
      <c r="V103" s="190">
        <f t="shared" si="14"/>
        <v>0</v>
      </c>
      <c r="W103" s="190">
        <f t="shared" si="15"/>
        <v>7.758620689655173</v>
      </c>
      <c r="X103" s="190">
        <f t="shared" si="16"/>
        <v>12.931034482758621</v>
      </c>
      <c r="Y103" s="190">
        <f t="shared" si="17"/>
        <v>16.379310344827587</v>
      </c>
      <c r="Z103" s="190">
        <f t="shared" si="18"/>
        <v>18.965517241379313</v>
      </c>
      <c r="AA103" s="190">
        <f t="shared" si="19"/>
        <v>16.379310344827587</v>
      </c>
      <c r="AB103" s="190">
        <f t="shared" si="20"/>
        <v>12.931034482758621</v>
      </c>
      <c r="AC103" s="190">
        <f t="shared" si="21"/>
        <v>7.758620689655173</v>
      </c>
      <c r="AD103" s="190">
        <f t="shared" si="22"/>
        <v>0</v>
      </c>
      <c r="AE103" s="190">
        <f t="shared" si="23"/>
        <v>0</v>
      </c>
      <c r="AF103" s="191">
        <f t="shared" si="24"/>
        <v>0</v>
      </c>
      <c r="AK103" s="368"/>
      <c r="AL103" s="189" t="s">
        <v>49</v>
      </c>
      <c r="AM103" s="11">
        <v>0</v>
      </c>
      <c r="AN103" s="11">
        <v>0</v>
      </c>
      <c r="AO103" s="11">
        <v>0</v>
      </c>
      <c r="AP103" s="11">
        <v>9</v>
      </c>
      <c r="AQ103" s="11">
        <v>15</v>
      </c>
      <c r="AR103" s="11">
        <v>19</v>
      </c>
      <c r="AS103" s="11">
        <v>22</v>
      </c>
      <c r="AT103" s="11">
        <v>19</v>
      </c>
      <c r="AU103" s="11">
        <v>15</v>
      </c>
      <c r="AV103" s="11">
        <v>9</v>
      </c>
      <c r="AW103" s="11">
        <v>0</v>
      </c>
      <c r="AX103" s="11">
        <v>0</v>
      </c>
      <c r="AY103" s="192">
        <v>0</v>
      </c>
    </row>
    <row r="104" spans="1:51" ht="12.75">
      <c r="A104" s="183"/>
      <c r="B104" s="368"/>
      <c r="C104" s="189" t="s">
        <v>54</v>
      </c>
      <c r="D104" s="190">
        <v>83.62068965517241</v>
      </c>
      <c r="E104" s="190">
        <v>222.41379310344828</v>
      </c>
      <c r="F104" s="190">
        <v>362.93103448275866</v>
      </c>
      <c r="G104" s="190">
        <v>485.3448275862069</v>
      </c>
      <c r="H104" s="190">
        <v>568.9655172413793</v>
      </c>
      <c r="I104" s="190">
        <v>629.3103448275863</v>
      </c>
      <c r="J104" s="190">
        <v>642.2413793103449</v>
      </c>
      <c r="K104" s="190">
        <v>629.3103448275863</v>
      </c>
      <c r="L104" s="190">
        <v>568.9655172413793</v>
      </c>
      <c r="M104" s="190">
        <v>485.3448275862069</v>
      </c>
      <c r="N104" s="190">
        <v>362.93103448275866</v>
      </c>
      <c r="O104" s="190">
        <v>222.41379310344828</v>
      </c>
      <c r="P104" s="191">
        <v>83.62068965517241</v>
      </c>
      <c r="Q104" s="183"/>
      <c r="R104" s="368"/>
      <c r="S104" s="189" t="s">
        <v>44</v>
      </c>
      <c r="T104" s="190">
        <f t="shared" si="25"/>
        <v>0</v>
      </c>
      <c r="U104" s="190">
        <f t="shared" si="13"/>
        <v>0</v>
      </c>
      <c r="V104" s="190">
        <f t="shared" si="14"/>
        <v>0</v>
      </c>
      <c r="W104" s="190">
        <f t="shared" si="15"/>
        <v>73.27586206896552</v>
      </c>
      <c r="X104" s="190">
        <f t="shared" si="16"/>
        <v>126.72413793103449</v>
      </c>
      <c r="Y104" s="190">
        <f t="shared" si="17"/>
        <v>62.06896551724138</v>
      </c>
      <c r="Z104" s="190">
        <f t="shared" si="18"/>
        <v>18.965517241379313</v>
      </c>
      <c r="AA104" s="190">
        <f t="shared" si="19"/>
        <v>16.379310344827587</v>
      </c>
      <c r="AB104" s="190">
        <f t="shared" si="20"/>
        <v>12.931034482758621</v>
      </c>
      <c r="AC104" s="190">
        <f t="shared" si="21"/>
        <v>7.758620689655173</v>
      </c>
      <c r="AD104" s="190">
        <f t="shared" si="22"/>
        <v>0</v>
      </c>
      <c r="AE104" s="190">
        <f t="shared" si="23"/>
        <v>0</v>
      </c>
      <c r="AF104" s="191">
        <f t="shared" si="24"/>
        <v>0</v>
      </c>
      <c r="AK104" s="368"/>
      <c r="AL104" s="189" t="s">
        <v>44</v>
      </c>
      <c r="AM104" s="11">
        <v>0</v>
      </c>
      <c r="AN104" s="11">
        <v>0</v>
      </c>
      <c r="AO104" s="11">
        <v>0</v>
      </c>
      <c r="AP104" s="11">
        <v>85</v>
      </c>
      <c r="AQ104" s="11">
        <v>147</v>
      </c>
      <c r="AR104" s="11">
        <v>72</v>
      </c>
      <c r="AS104" s="11">
        <v>22</v>
      </c>
      <c r="AT104" s="11">
        <v>19</v>
      </c>
      <c r="AU104" s="11">
        <v>15</v>
      </c>
      <c r="AV104" s="11">
        <v>9</v>
      </c>
      <c r="AW104" s="11">
        <v>0</v>
      </c>
      <c r="AX104" s="11">
        <v>0</v>
      </c>
      <c r="AY104" s="192">
        <v>0</v>
      </c>
    </row>
    <row r="105" spans="1:51" ht="12.75">
      <c r="A105" s="183"/>
      <c r="B105" s="368"/>
      <c r="C105" s="189" t="s">
        <v>374</v>
      </c>
      <c r="D105" s="190">
        <v>64.65517241379311</v>
      </c>
      <c r="E105" s="190">
        <v>198.27586206896552</v>
      </c>
      <c r="F105" s="190">
        <v>341.3793103448276</v>
      </c>
      <c r="G105" s="190">
        <v>462.93103448275866</v>
      </c>
      <c r="H105" s="190">
        <v>550</v>
      </c>
      <c r="I105" s="190">
        <v>610.344827586207</v>
      </c>
      <c r="J105" s="190">
        <v>631.0344827586207</v>
      </c>
      <c r="K105" s="190">
        <v>610.344827586207</v>
      </c>
      <c r="L105" s="190">
        <v>550</v>
      </c>
      <c r="M105" s="190">
        <v>462.93103448275866</v>
      </c>
      <c r="N105" s="190">
        <v>341.3793103448276</v>
      </c>
      <c r="O105" s="190">
        <v>198.27586206896552</v>
      </c>
      <c r="P105" s="191">
        <v>64.65517241379311</v>
      </c>
      <c r="Q105" s="183"/>
      <c r="R105" s="368"/>
      <c r="S105" s="189" t="s">
        <v>52</v>
      </c>
      <c r="T105" s="190">
        <f t="shared" si="25"/>
        <v>0</v>
      </c>
      <c r="U105" s="190">
        <f t="shared" si="13"/>
        <v>0</v>
      </c>
      <c r="V105" s="190">
        <f t="shared" si="14"/>
        <v>0</v>
      </c>
      <c r="W105" s="190">
        <f t="shared" si="15"/>
        <v>111.20689655172414</v>
      </c>
      <c r="X105" s="190">
        <f t="shared" si="16"/>
        <v>289.65517241379314</v>
      </c>
      <c r="Y105" s="190">
        <f t="shared" si="17"/>
        <v>313.7931034482759</v>
      </c>
      <c r="Z105" s="190">
        <f t="shared" si="18"/>
        <v>270.68965517241384</v>
      </c>
      <c r="AA105" s="190">
        <f t="shared" si="19"/>
        <v>168.1034482758621</v>
      </c>
      <c r="AB105" s="190">
        <f t="shared" si="20"/>
        <v>67.24137931034483</v>
      </c>
      <c r="AC105" s="190">
        <f t="shared" si="21"/>
        <v>7.758620689655173</v>
      </c>
      <c r="AD105" s="190">
        <f t="shared" si="22"/>
        <v>0</v>
      </c>
      <c r="AE105" s="190">
        <f t="shared" si="23"/>
        <v>0</v>
      </c>
      <c r="AF105" s="191">
        <f t="shared" si="24"/>
        <v>0</v>
      </c>
      <c r="AK105" s="368"/>
      <c r="AL105" s="189" t="s">
        <v>52</v>
      </c>
      <c r="AM105" s="11">
        <v>0</v>
      </c>
      <c r="AN105" s="11">
        <v>0</v>
      </c>
      <c r="AO105" s="11">
        <v>0</v>
      </c>
      <c r="AP105" s="11">
        <v>129</v>
      </c>
      <c r="AQ105" s="11">
        <v>336</v>
      </c>
      <c r="AR105" s="11">
        <v>364</v>
      </c>
      <c r="AS105" s="11">
        <v>314</v>
      </c>
      <c r="AT105" s="11">
        <v>195</v>
      </c>
      <c r="AU105" s="11">
        <v>78</v>
      </c>
      <c r="AV105" s="11">
        <v>9</v>
      </c>
      <c r="AW105" s="11">
        <v>0</v>
      </c>
      <c r="AX105" s="11">
        <v>0</v>
      </c>
      <c r="AY105" s="192">
        <v>0</v>
      </c>
    </row>
    <row r="106" spans="1:51" ht="12.75">
      <c r="A106" s="183"/>
      <c r="B106" s="368"/>
      <c r="C106" s="189" t="s">
        <v>375</v>
      </c>
      <c r="D106" s="190">
        <v>24.13793103448276</v>
      </c>
      <c r="E106" s="190">
        <v>126.72413793103449</v>
      </c>
      <c r="F106" s="190">
        <v>270.68965517241384</v>
      </c>
      <c r="G106" s="190">
        <v>406.0344827586207</v>
      </c>
      <c r="H106" s="190">
        <v>500.86206896551727</v>
      </c>
      <c r="I106" s="190">
        <v>556.0344827586207</v>
      </c>
      <c r="J106" s="190">
        <v>580.1724137931035</v>
      </c>
      <c r="K106" s="190">
        <v>556.0344827586207</v>
      </c>
      <c r="L106" s="190">
        <v>500.86206896551727</v>
      </c>
      <c r="M106" s="190">
        <v>406.0344827586207</v>
      </c>
      <c r="N106" s="190">
        <v>270.68965517241384</v>
      </c>
      <c r="O106" s="190">
        <v>126.72413793103449</v>
      </c>
      <c r="P106" s="191">
        <v>24.13793103448276</v>
      </c>
      <c r="Q106" s="183"/>
      <c r="R106" s="368"/>
      <c r="S106" s="189" t="s">
        <v>46</v>
      </c>
      <c r="T106" s="190">
        <f t="shared" si="25"/>
        <v>0</v>
      </c>
      <c r="U106" s="190">
        <f t="shared" si="13"/>
        <v>0</v>
      </c>
      <c r="V106" s="190">
        <f t="shared" si="14"/>
        <v>0</v>
      </c>
      <c r="W106" s="190">
        <f t="shared" si="15"/>
        <v>83.62068965517241</v>
      </c>
      <c r="X106" s="190">
        <f t="shared" si="16"/>
        <v>268.1034482758621</v>
      </c>
      <c r="Y106" s="190">
        <f t="shared" si="17"/>
        <v>355.1724137931035</v>
      </c>
      <c r="Z106" s="190">
        <f t="shared" si="18"/>
        <v>381.89655172413796</v>
      </c>
      <c r="AA106" s="190">
        <f t="shared" si="19"/>
        <v>355.1724137931035</v>
      </c>
      <c r="AB106" s="190">
        <f t="shared" si="20"/>
        <v>268.1034482758621</v>
      </c>
      <c r="AC106" s="190">
        <f t="shared" si="21"/>
        <v>83.62068965517241</v>
      </c>
      <c r="AD106" s="190">
        <f t="shared" si="22"/>
        <v>0</v>
      </c>
      <c r="AE106" s="190">
        <f t="shared" si="23"/>
        <v>0</v>
      </c>
      <c r="AF106" s="191">
        <f t="shared" si="24"/>
        <v>0</v>
      </c>
      <c r="AK106" s="368"/>
      <c r="AL106" s="189" t="s">
        <v>52</v>
      </c>
      <c r="AM106" s="11">
        <v>0</v>
      </c>
      <c r="AN106" s="11">
        <v>0</v>
      </c>
      <c r="AO106" s="11">
        <v>0</v>
      </c>
      <c r="AP106" s="11">
        <v>97</v>
      </c>
      <c r="AQ106" s="11">
        <v>311</v>
      </c>
      <c r="AR106" s="11">
        <v>412</v>
      </c>
      <c r="AS106" s="11">
        <v>443</v>
      </c>
      <c r="AT106" s="11">
        <v>412</v>
      </c>
      <c r="AU106" s="11">
        <v>311</v>
      </c>
      <c r="AV106" s="11">
        <v>97</v>
      </c>
      <c r="AW106" s="11">
        <v>0</v>
      </c>
      <c r="AX106" s="11">
        <v>0</v>
      </c>
      <c r="AY106" s="192">
        <v>0</v>
      </c>
    </row>
    <row r="107" spans="1:51" ht="12.75">
      <c r="A107" s="183"/>
      <c r="B107" s="368"/>
      <c r="C107" s="189" t="s">
        <v>378</v>
      </c>
      <c r="D107" s="190">
        <v>0</v>
      </c>
      <c r="E107" s="190">
        <v>56.896551724137936</v>
      </c>
      <c r="F107" s="190">
        <v>181.0344827586207</v>
      </c>
      <c r="G107" s="190">
        <v>336.2068965517242</v>
      </c>
      <c r="H107" s="190">
        <v>413.7931034482759</v>
      </c>
      <c r="I107" s="190">
        <v>476.72413793103453</v>
      </c>
      <c r="J107" s="190">
        <v>495.68965517241384</v>
      </c>
      <c r="K107" s="190">
        <v>476.72413793103453</v>
      </c>
      <c r="L107" s="190">
        <v>413.7931034482759</v>
      </c>
      <c r="M107" s="190">
        <v>336.2068965517242</v>
      </c>
      <c r="N107" s="190">
        <v>181.0344827586207</v>
      </c>
      <c r="O107" s="190">
        <v>56.896551724137936</v>
      </c>
      <c r="P107" s="191">
        <v>0</v>
      </c>
      <c r="Q107" s="183"/>
      <c r="R107" s="368"/>
      <c r="S107" s="189" t="s">
        <v>50</v>
      </c>
      <c r="T107" s="190">
        <f t="shared" si="25"/>
        <v>0</v>
      </c>
      <c r="U107" s="190">
        <f t="shared" si="13"/>
        <v>0</v>
      </c>
      <c r="V107" s="190">
        <f t="shared" si="14"/>
        <v>0</v>
      </c>
      <c r="W107" s="190">
        <f t="shared" si="15"/>
        <v>7.758620689655173</v>
      </c>
      <c r="X107" s="190">
        <f t="shared" si="16"/>
        <v>67.24137931034483</v>
      </c>
      <c r="Y107" s="190">
        <f t="shared" si="17"/>
        <v>168.1034482758621</v>
      </c>
      <c r="Z107" s="190">
        <f t="shared" si="18"/>
        <v>270.68965517241384</v>
      </c>
      <c r="AA107" s="190">
        <f t="shared" si="19"/>
        <v>313.7931034482759</v>
      </c>
      <c r="AB107" s="190">
        <f t="shared" si="20"/>
        <v>289.65517241379314</v>
      </c>
      <c r="AC107" s="190">
        <f t="shared" si="21"/>
        <v>111.20689655172414</v>
      </c>
      <c r="AD107" s="190">
        <f t="shared" si="22"/>
        <v>0</v>
      </c>
      <c r="AE107" s="190">
        <f t="shared" si="23"/>
        <v>0</v>
      </c>
      <c r="AF107" s="191">
        <f t="shared" si="24"/>
        <v>0</v>
      </c>
      <c r="AK107" s="368"/>
      <c r="AL107" s="189" t="s">
        <v>50</v>
      </c>
      <c r="AM107" s="11">
        <v>0</v>
      </c>
      <c r="AN107" s="11">
        <v>0</v>
      </c>
      <c r="AO107" s="11">
        <v>0</v>
      </c>
      <c r="AP107" s="11">
        <v>9</v>
      </c>
      <c r="AQ107" s="11">
        <v>78</v>
      </c>
      <c r="AR107" s="11">
        <v>195</v>
      </c>
      <c r="AS107" s="11">
        <v>314</v>
      </c>
      <c r="AT107" s="11">
        <v>364</v>
      </c>
      <c r="AU107" s="11">
        <v>336</v>
      </c>
      <c r="AV107" s="11">
        <v>129</v>
      </c>
      <c r="AW107" s="11">
        <v>0</v>
      </c>
      <c r="AX107" s="11">
        <v>0</v>
      </c>
      <c r="AY107" s="192">
        <v>0</v>
      </c>
    </row>
    <row r="108" spans="1:51" ht="12.75">
      <c r="A108" s="183"/>
      <c r="B108" s="368"/>
      <c r="C108" s="189" t="s">
        <v>380</v>
      </c>
      <c r="D108" s="190">
        <v>0</v>
      </c>
      <c r="E108" s="190">
        <v>5.172413793103448</v>
      </c>
      <c r="F108" s="190">
        <v>50.862068965517246</v>
      </c>
      <c r="G108" s="190">
        <v>122.41379310344828</v>
      </c>
      <c r="H108" s="190">
        <v>194.82758620689657</v>
      </c>
      <c r="I108" s="190">
        <v>232.75862068965517</v>
      </c>
      <c r="J108" s="190">
        <v>254.31034482758622</v>
      </c>
      <c r="K108" s="190">
        <v>232.75862068965517</v>
      </c>
      <c r="L108" s="190">
        <v>194.82758620689657</v>
      </c>
      <c r="M108" s="190">
        <v>122.41379310344828</v>
      </c>
      <c r="N108" s="190">
        <v>50.862068965517246</v>
      </c>
      <c r="O108" s="190">
        <v>5.172413793103448</v>
      </c>
      <c r="P108" s="191">
        <v>0</v>
      </c>
      <c r="Q108" s="183"/>
      <c r="R108" s="368"/>
      <c r="S108" s="189" t="s">
        <v>45</v>
      </c>
      <c r="T108" s="190">
        <f t="shared" si="25"/>
        <v>0</v>
      </c>
      <c r="U108" s="190">
        <f t="shared" si="13"/>
        <v>0</v>
      </c>
      <c r="V108" s="190">
        <f t="shared" si="14"/>
        <v>0</v>
      </c>
      <c r="W108" s="190">
        <f t="shared" si="15"/>
        <v>7.758620689655173</v>
      </c>
      <c r="X108" s="190">
        <f t="shared" si="16"/>
        <v>12.931034482758621</v>
      </c>
      <c r="Y108" s="190">
        <f t="shared" si="17"/>
        <v>16.379310344827587</v>
      </c>
      <c r="Z108" s="190">
        <f t="shared" si="18"/>
        <v>18.965517241379313</v>
      </c>
      <c r="AA108" s="190">
        <f t="shared" si="19"/>
        <v>62.06896551724138</v>
      </c>
      <c r="AB108" s="190">
        <f t="shared" si="20"/>
        <v>126.72413793103449</v>
      </c>
      <c r="AC108" s="190">
        <f t="shared" si="21"/>
        <v>73.27586206896552</v>
      </c>
      <c r="AD108" s="190">
        <f t="shared" si="22"/>
        <v>0</v>
      </c>
      <c r="AE108" s="190">
        <f t="shared" si="23"/>
        <v>0</v>
      </c>
      <c r="AF108" s="191">
        <f t="shared" si="24"/>
        <v>0</v>
      </c>
      <c r="AK108" s="368"/>
      <c r="AL108" s="189" t="s">
        <v>45</v>
      </c>
      <c r="AM108" s="11">
        <v>0</v>
      </c>
      <c r="AN108" s="11">
        <v>0</v>
      </c>
      <c r="AO108" s="11">
        <v>0</v>
      </c>
      <c r="AP108" s="11">
        <v>9</v>
      </c>
      <c r="AQ108" s="11">
        <v>15</v>
      </c>
      <c r="AR108" s="11">
        <v>19</v>
      </c>
      <c r="AS108" s="11">
        <v>22</v>
      </c>
      <c r="AT108" s="11">
        <v>72</v>
      </c>
      <c r="AU108" s="11">
        <v>147</v>
      </c>
      <c r="AV108" s="11">
        <v>85</v>
      </c>
      <c r="AW108" s="11">
        <v>0</v>
      </c>
      <c r="AX108" s="11">
        <v>0</v>
      </c>
      <c r="AY108" s="192">
        <v>0</v>
      </c>
    </row>
    <row r="109" spans="1:51" ht="12.75">
      <c r="A109" s="183"/>
      <c r="B109" s="368"/>
      <c r="C109" s="189" t="s">
        <v>382</v>
      </c>
      <c r="D109" s="190">
        <v>0</v>
      </c>
      <c r="E109" s="190">
        <v>0</v>
      </c>
      <c r="F109" s="190">
        <v>10.344827586206897</v>
      </c>
      <c r="G109" s="190">
        <v>35.3448275862069</v>
      </c>
      <c r="H109" s="190">
        <v>81.0344827586207</v>
      </c>
      <c r="I109" s="190">
        <v>126.72413793103449</v>
      </c>
      <c r="J109" s="190">
        <v>143.1034482758621</v>
      </c>
      <c r="K109" s="190">
        <v>126.72413793103449</v>
      </c>
      <c r="L109" s="190">
        <v>81.0344827586207</v>
      </c>
      <c r="M109" s="190">
        <v>35.3448275862069</v>
      </c>
      <c r="N109" s="190">
        <v>10.344827586206897</v>
      </c>
      <c r="O109" s="190">
        <v>0</v>
      </c>
      <c r="P109" s="191">
        <v>0</v>
      </c>
      <c r="Q109" s="183"/>
      <c r="R109" s="368"/>
      <c r="S109" s="189" t="s">
        <v>51</v>
      </c>
      <c r="T109" s="190">
        <f t="shared" si="25"/>
        <v>0</v>
      </c>
      <c r="U109" s="190">
        <f t="shared" si="13"/>
        <v>0</v>
      </c>
      <c r="V109" s="190">
        <f t="shared" si="14"/>
        <v>0</v>
      </c>
      <c r="W109" s="190">
        <f t="shared" si="15"/>
        <v>7.758620689655173</v>
      </c>
      <c r="X109" s="190">
        <f t="shared" si="16"/>
        <v>12.931034482758621</v>
      </c>
      <c r="Y109" s="190">
        <f t="shared" si="17"/>
        <v>16.379310344827587</v>
      </c>
      <c r="Z109" s="190">
        <f t="shared" si="18"/>
        <v>18.965517241379313</v>
      </c>
      <c r="AA109" s="190">
        <f t="shared" si="19"/>
        <v>16.379310344827587</v>
      </c>
      <c r="AB109" s="190">
        <f t="shared" si="20"/>
        <v>38.793103448275865</v>
      </c>
      <c r="AC109" s="190">
        <f t="shared" si="21"/>
        <v>7.758620689655173</v>
      </c>
      <c r="AD109" s="190">
        <f t="shared" si="22"/>
        <v>0</v>
      </c>
      <c r="AE109" s="190">
        <f t="shared" si="23"/>
        <v>0</v>
      </c>
      <c r="AF109" s="191">
        <f t="shared" si="24"/>
        <v>0</v>
      </c>
      <c r="AK109" s="368"/>
      <c r="AL109" s="189" t="s">
        <v>51</v>
      </c>
      <c r="AM109" s="11">
        <v>0</v>
      </c>
      <c r="AN109" s="11">
        <v>0</v>
      </c>
      <c r="AO109" s="11">
        <v>0</v>
      </c>
      <c r="AP109" s="11">
        <v>9</v>
      </c>
      <c r="AQ109" s="11">
        <v>15</v>
      </c>
      <c r="AR109" s="11">
        <v>19</v>
      </c>
      <c r="AS109" s="11">
        <v>22</v>
      </c>
      <c r="AT109" s="11">
        <v>19</v>
      </c>
      <c r="AU109" s="11">
        <v>45</v>
      </c>
      <c r="AV109" s="11">
        <v>9</v>
      </c>
      <c r="AW109" s="11">
        <v>0</v>
      </c>
      <c r="AX109" s="11">
        <v>0</v>
      </c>
      <c r="AY109" s="192">
        <v>0</v>
      </c>
    </row>
    <row r="110" spans="1:51" ht="13.5" thickBot="1">
      <c r="A110" s="183"/>
      <c r="B110" s="369"/>
      <c r="C110" s="193" t="s">
        <v>383</v>
      </c>
      <c r="D110" s="194">
        <v>0</v>
      </c>
      <c r="E110" s="194">
        <v>0</v>
      </c>
      <c r="F110" s="194">
        <v>0</v>
      </c>
      <c r="G110" s="194">
        <v>12.931034482758621</v>
      </c>
      <c r="H110" s="194">
        <v>50.862068965517246</v>
      </c>
      <c r="I110" s="194">
        <v>88.79310344827587</v>
      </c>
      <c r="J110" s="194">
        <v>107.75862068965517</v>
      </c>
      <c r="K110" s="194">
        <v>88.79310344827587</v>
      </c>
      <c r="L110" s="194">
        <v>50.862068965517246</v>
      </c>
      <c r="M110" s="194">
        <v>12.931034482758621</v>
      </c>
      <c r="N110" s="194">
        <v>0</v>
      </c>
      <c r="O110" s="194">
        <v>0</v>
      </c>
      <c r="P110" s="195">
        <v>0</v>
      </c>
      <c r="Q110" s="183"/>
      <c r="R110" s="369"/>
      <c r="S110" s="193" t="s">
        <v>53</v>
      </c>
      <c r="T110" s="194">
        <f t="shared" si="25"/>
        <v>0</v>
      </c>
      <c r="U110" s="194">
        <f t="shared" si="13"/>
        <v>0</v>
      </c>
      <c r="V110" s="194">
        <f t="shared" si="14"/>
        <v>0</v>
      </c>
      <c r="W110" s="194">
        <f t="shared" si="15"/>
        <v>12.931034482758621</v>
      </c>
      <c r="X110" s="194">
        <f t="shared" si="16"/>
        <v>50.862068965517246</v>
      </c>
      <c r="Y110" s="194">
        <f t="shared" si="17"/>
        <v>88.79310344827587</v>
      </c>
      <c r="Z110" s="194">
        <f t="shared" si="18"/>
        <v>107.75862068965517</v>
      </c>
      <c r="AA110" s="194">
        <f t="shared" si="19"/>
        <v>88.79310344827587</v>
      </c>
      <c r="AB110" s="194">
        <f t="shared" si="20"/>
        <v>50.862068965517246</v>
      </c>
      <c r="AC110" s="194">
        <f t="shared" si="21"/>
        <v>12.931034482758621</v>
      </c>
      <c r="AD110" s="194">
        <f t="shared" si="22"/>
        <v>0</v>
      </c>
      <c r="AE110" s="194">
        <f t="shared" si="23"/>
        <v>0</v>
      </c>
      <c r="AF110" s="195">
        <f t="shared" si="24"/>
        <v>0</v>
      </c>
      <c r="AK110" s="369"/>
      <c r="AL110" s="193" t="s">
        <v>53</v>
      </c>
      <c r="AM110" s="196">
        <v>0</v>
      </c>
      <c r="AN110" s="196">
        <v>0</v>
      </c>
      <c r="AO110" s="196">
        <v>0</v>
      </c>
      <c r="AP110" s="196">
        <v>15</v>
      </c>
      <c r="AQ110" s="196">
        <v>59</v>
      </c>
      <c r="AR110" s="196">
        <v>103</v>
      </c>
      <c r="AS110" s="196">
        <v>125</v>
      </c>
      <c r="AT110" s="196">
        <v>103</v>
      </c>
      <c r="AU110" s="196">
        <v>59</v>
      </c>
      <c r="AV110" s="196">
        <v>15</v>
      </c>
      <c r="AW110" s="196">
        <v>0</v>
      </c>
      <c r="AX110" s="196">
        <v>0</v>
      </c>
      <c r="AY110" s="197">
        <v>0</v>
      </c>
    </row>
    <row r="112" spans="2:51" ht="12.75">
      <c r="B112" s="31">
        <v>1</v>
      </c>
      <c r="C112" s="220" t="s">
        <v>384</v>
      </c>
      <c r="R112" s="221"/>
      <c r="S112" s="220"/>
      <c r="T112" s="221"/>
      <c r="U112" s="221"/>
      <c r="V112" s="221"/>
      <c r="W112" s="221"/>
      <c r="X112" s="221"/>
      <c r="Y112" s="221"/>
      <c r="Z112" s="221"/>
      <c r="AA112" s="221"/>
      <c r="AB112" s="221"/>
      <c r="AC112" s="221"/>
      <c r="AD112" s="221"/>
      <c r="AE112" s="221"/>
      <c r="AF112" s="221"/>
      <c r="AK112" s="221"/>
      <c r="AL112" s="220"/>
      <c r="AM112" s="221"/>
      <c r="AN112" s="221"/>
      <c r="AO112" s="221"/>
      <c r="AP112" s="221"/>
      <c r="AQ112" s="221"/>
      <c r="AR112" s="221"/>
      <c r="AS112" s="221"/>
      <c r="AT112" s="221"/>
      <c r="AU112" s="221"/>
      <c r="AV112" s="221"/>
      <c r="AW112" s="221"/>
      <c r="AX112" s="221"/>
      <c r="AY112" s="221"/>
    </row>
    <row r="113" spans="2:51" ht="12.75">
      <c r="B113" s="31">
        <v>2</v>
      </c>
      <c r="C113" s="220" t="s">
        <v>381</v>
      </c>
      <c r="R113" s="221"/>
      <c r="S113" s="220"/>
      <c r="T113" s="221"/>
      <c r="U113" s="221"/>
      <c r="V113" s="221"/>
      <c r="W113" s="221"/>
      <c r="X113" s="221"/>
      <c r="Y113" s="221"/>
      <c r="Z113" s="221"/>
      <c r="AA113" s="221"/>
      <c r="AB113" s="221"/>
      <c r="AC113" s="221"/>
      <c r="AD113" s="221"/>
      <c r="AE113" s="221"/>
      <c r="AF113" s="221"/>
      <c r="AK113" s="221"/>
      <c r="AL113" s="220"/>
      <c r="AM113" s="221"/>
      <c r="AN113" s="221"/>
      <c r="AO113" s="221"/>
      <c r="AP113" s="221"/>
      <c r="AQ113" s="221"/>
      <c r="AR113" s="221"/>
      <c r="AS113" s="221"/>
      <c r="AT113" s="221"/>
      <c r="AU113" s="221"/>
      <c r="AV113" s="221"/>
      <c r="AW113" s="221"/>
      <c r="AX113" s="221"/>
      <c r="AY113" s="221"/>
    </row>
    <row r="114" spans="2:51" ht="12.75">
      <c r="B114" s="31">
        <v>3</v>
      </c>
      <c r="C114" s="220" t="s">
        <v>379</v>
      </c>
      <c r="R114" s="221"/>
      <c r="S114" s="220"/>
      <c r="T114" s="221"/>
      <c r="U114" s="221"/>
      <c r="V114" s="221"/>
      <c r="W114" s="221"/>
      <c r="X114" s="221"/>
      <c r="Y114" s="221"/>
      <c r="Z114" s="221"/>
      <c r="AA114" s="221"/>
      <c r="AB114" s="221"/>
      <c r="AC114" s="221"/>
      <c r="AD114" s="221"/>
      <c r="AE114" s="221"/>
      <c r="AF114" s="221"/>
      <c r="AK114" s="221"/>
      <c r="AL114" s="220"/>
      <c r="AM114" s="221"/>
      <c r="AN114" s="221"/>
      <c r="AO114" s="221"/>
      <c r="AP114" s="221"/>
      <c r="AQ114" s="221"/>
      <c r="AR114" s="221"/>
      <c r="AS114" s="221"/>
      <c r="AT114" s="221"/>
      <c r="AU114" s="221"/>
      <c r="AV114" s="221"/>
      <c r="AW114" s="221"/>
      <c r="AX114" s="221"/>
      <c r="AY114" s="221"/>
    </row>
    <row r="115" spans="2:51" ht="12.75">
      <c r="B115" s="31">
        <v>4</v>
      </c>
      <c r="C115" s="220" t="s">
        <v>377</v>
      </c>
      <c r="R115" s="221"/>
      <c r="S115" s="220"/>
      <c r="T115" s="221"/>
      <c r="U115" s="221"/>
      <c r="V115" s="221"/>
      <c r="W115" s="221"/>
      <c r="X115" s="221"/>
      <c r="Y115" s="221"/>
      <c r="Z115" s="221"/>
      <c r="AA115" s="221"/>
      <c r="AB115" s="221"/>
      <c r="AC115" s="221"/>
      <c r="AD115" s="221"/>
      <c r="AE115" s="221"/>
      <c r="AF115" s="221"/>
      <c r="AK115" s="221"/>
      <c r="AL115" s="220"/>
      <c r="AM115" s="221"/>
      <c r="AN115" s="221"/>
      <c r="AO115" s="221"/>
      <c r="AP115" s="221"/>
      <c r="AQ115" s="221"/>
      <c r="AR115" s="221"/>
      <c r="AS115" s="221"/>
      <c r="AT115" s="221"/>
      <c r="AU115" s="221"/>
      <c r="AV115" s="221"/>
      <c r="AW115" s="221"/>
      <c r="AX115" s="221"/>
      <c r="AY115" s="221"/>
    </row>
    <row r="116" spans="2:51" ht="12.75">
      <c r="B116" s="31">
        <v>5</v>
      </c>
      <c r="C116" s="220" t="s">
        <v>376</v>
      </c>
      <c r="R116" s="221"/>
      <c r="S116" s="220"/>
      <c r="T116" s="221"/>
      <c r="U116" s="221"/>
      <c r="V116" s="221"/>
      <c r="W116" s="221"/>
      <c r="X116" s="221"/>
      <c r="Y116" s="221"/>
      <c r="Z116" s="221"/>
      <c r="AA116" s="221"/>
      <c r="AB116" s="221"/>
      <c r="AC116" s="221"/>
      <c r="AD116" s="221"/>
      <c r="AE116" s="221"/>
      <c r="AF116" s="221"/>
      <c r="AK116" s="221"/>
      <c r="AL116" s="220"/>
      <c r="AM116" s="221"/>
      <c r="AN116" s="221"/>
      <c r="AO116" s="221"/>
      <c r="AP116" s="221"/>
      <c r="AQ116" s="221"/>
      <c r="AR116" s="221"/>
      <c r="AS116" s="221"/>
      <c r="AT116" s="221"/>
      <c r="AU116" s="221"/>
      <c r="AV116" s="221"/>
      <c r="AW116" s="221"/>
      <c r="AX116" s="221"/>
      <c r="AY116" s="221"/>
    </row>
    <row r="117" spans="2:51" ht="12.75">
      <c r="B117" s="31">
        <v>6</v>
      </c>
      <c r="C117" s="220" t="s">
        <v>54</v>
      </c>
      <c r="R117" s="221"/>
      <c r="S117" s="220"/>
      <c r="T117" s="221"/>
      <c r="U117" s="221"/>
      <c r="V117" s="221"/>
      <c r="W117" s="221"/>
      <c r="X117" s="221"/>
      <c r="Y117" s="221"/>
      <c r="Z117" s="221"/>
      <c r="AA117" s="221"/>
      <c r="AB117" s="221"/>
      <c r="AC117" s="221"/>
      <c r="AD117" s="221"/>
      <c r="AE117" s="221"/>
      <c r="AF117" s="221"/>
      <c r="AK117" s="221"/>
      <c r="AL117" s="220"/>
      <c r="AM117" s="221"/>
      <c r="AN117" s="221"/>
      <c r="AO117" s="221"/>
      <c r="AP117" s="221"/>
      <c r="AQ117" s="221"/>
      <c r="AR117" s="221"/>
      <c r="AS117" s="221"/>
      <c r="AT117" s="221"/>
      <c r="AU117" s="221"/>
      <c r="AV117" s="221"/>
      <c r="AW117" s="221"/>
      <c r="AX117" s="221"/>
      <c r="AY117" s="221"/>
    </row>
    <row r="118" spans="2:51" ht="12.75">
      <c r="B118" s="31">
        <v>7</v>
      </c>
      <c r="C118" s="220" t="s">
        <v>374</v>
      </c>
      <c r="G118" s="221"/>
      <c r="H118" s="221"/>
      <c r="I118" s="221"/>
      <c r="J118" s="221"/>
      <c r="K118" s="221"/>
      <c r="R118" s="221"/>
      <c r="S118" s="220"/>
      <c r="T118" s="221"/>
      <c r="U118" s="221"/>
      <c r="V118" s="221"/>
      <c r="W118" s="221"/>
      <c r="X118" s="221"/>
      <c r="Y118" s="221"/>
      <c r="Z118" s="221"/>
      <c r="AA118" s="221"/>
      <c r="AB118" s="221"/>
      <c r="AC118" s="221"/>
      <c r="AD118" s="221"/>
      <c r="AE118" s="221"/>
      <c r="AF118" s="221"/>
      <c r="AK118" s="221"/>
      <c r="AL118" s="220"/>
      <c r="AM118" s="221"/>
      <c r="AN118" s="221"/>
      <c r="AO118" s="221"/>
      <c r="AP118" s="221"/>
      <c r="AQ118" s="221"/>
      <c r="AR118" s="221"/>
      <c r="AS118" s="221"/>
      <c r="AT118" s="221"/>
      <c r="AU118" s="221"/>
      <c r="AV118" s="221"/>
      <c r="AW118" s="221"/>
      <c r="AX118" s="221"/>
      <c r="AY118" s="221"/>
    </row>
    <row r="119" spans="2:51" ht="12.75">
      <c r="B119" s="31">
        <v>8</v>
      </c>
      <c r="C119" s="220" t="s">
        <v>375</v>
      </c>
      <c r="R119" s="221"/>
      <c r="S119" s="220"/>
      <c r="T119" s="221"/>
      <c r="U119" s="221"/>
      <c r="V119" s="221"/>
      <c r="W119" s="221"/>
      <c r="X119" s="221"/>
      <c r="Y119" s="221"/>
      <c r="Z119" s="221"/>
      <c r="AA119" s="221"/>
      <c r="AB119" s="221"/>
      <c r="AC119" s="221"/>
      <c r="AD119" s="221"/>
      <c r="AE119" s="221"/>
      <c r="AF119" s="221"/>
      <c r="AK119" s="221"/>
      <c r="AL119" s="220"/>
      <c r="AM119" s="221"/>
      <c r="AN119" s="221"/>
      <c r="AO119" s="221"/>
      <c r="AP119" s="221"/>
      <c r="AQ119" s="221"/>
      <c r="AR119" s="221"/>
      <c r="AS119" s="221"/>
      <c r="AT119" s="221"/>
      <c r="AU119" s="221"/>
      <c r="AV119" s="221"/>
      <c r="AW119" s="221"/>
      <c r="AX119" s="221"/>
      <c r="AY119" s="221"/>
    </row>
    <row r="120" spans="2:51" ht="12.75">
      <c r="B120" s="31">
        <v>9</v>
      </c>
      <c r="C120" s="220" t="s">
        <v>378</v>
      </c>
      <c r="R120" s="221"/>
      <c r="S120" s="220"/>
      <c r="T120" s="221"/>
      <c r="U120" s="221"/>
      <c r="V120" s="221"/>
      <c r="W120" s="221"/>
      <c r="X120" s="221"/>
      <c r="Y120" s="221"/>
      <c r="Z120" s="221"/>
      <c r="AA120" s="221"/>
      <c r="AB120" s="221"/>
      <c r="AC120" s="221"/>
      <c r="AD120" s="221"/>
      <c r="AE120" s="221"/>
      <c r="AF120" s="221"/>
      <c r="AK120" s="221"/>
      <c r="AL120" s="220"/>
      <c r="AM120" s="221"/>
      <c r="AN120" s="221"/>
      <c r="AO120" s="221"/>
      <c r="AP120" s="221"/>
      <c r="AQ120" s="221"/>
      <c r="AR120" s="221"/>
      <c r="AS120" s="221"/>
      <c r="AT120" s="221"/>
      <c r="AU120" s="221"/>
      <c r="AV120" s="221"/>
      <c r="AW120" s="221"/>
      <c r="AX120" s="221"/>
      <c r="AY120" s="221"/>
    </row>
    <row r="121" spans="2:51" ht="12.75">
      <c r="B121" s="31">
        <v>10</v>
      </c>
      <c r="C121" s="220" t="s">
        <v>380</v>
      </c>
      <c r="R121" s="221"/>
      <c r="S121" s="220"/>
      <c r="T121" s="221"/>
      <c r="U121" s="221"/>
      <c r="V121" s="221"/>
      <c r="W121" s="221"/>
      <c r="X121" s="221"/>
      <c r="Y121" s="221"/>
      <c r="Z121" s="221"/>
      <c r="AA121" s="221"/>
      <c r="AB121" s="221"/>
      <c r="AC121" s="221"/>
      <c r="AD121" s="221"/>
      <c r="AE121" s="221"/>
      <c r="AF121" s="221"/>
      <c r="AK121" s="221"/>
      <c r="AL121" s="220"/>
      <c r="AM121" s="221"/>
      <c r="AN121" s="221"/>
      <c r="AO121" s="221"/>
      <c r="AP121" s="221"/>
      <c r="AQ121" s="221"/>
      <c r="AR121" s="221"/>
      <c r="AS121" s="221"/>
      <c r="AT121" s="221"/>
      <c r="AU121" s="221"/>
      <c r="AV121" s="221"/>
      <c r="AW121" s="221"/>
      <c r="AX121" s="221"/>
      <c r="AY121" s="221"/>
    </row>
    <row r="122" spans="2:51" ht="12.75">
      <c r="B122" s="31">
        <v>11</v>
      </c>
      <c r="C122" s="220" t="s">
        <v>382</v>
      </c>
      <c r="R122" s="221"/>
      <c r="S122" s="220"/>
      <c r="T122" s="221"/>
      <c r="U122" s="221"/>
      <c r="V122" s="221"/>
      <c r="W122" s="221"/>
      <c r="X122" s="221"/>
      <c r="Y122" s="221"/>
      <c r="Z122" s="221"/>
      <c r="AA122" s="221"/>
      <c r="AB122" s="221"/>
      <c r="AC122" s="221"/>
      <c r="AD122" s="221"/>
      <c r="AE122" s="221"/>
      <c r="AF122" s="221"/>
      <c r="AK122" s="221"/>
      <c r="AL122" s="220"/>
      <c r="AM122" s="221"/>
      <c r="AN122" s="221"/>
      <c r="AO122" s="221"/>
      <c r="AP122" s="221"/>
      <c r="AQ122" s="221"/>
      <c r="AR122" s="221"/>
      <c r="AS122" s="221"/>
      <c r="AT122" s="221"/>
      <c r="AU122" s="221"/>
      <c r="AV122" s="221"/>
      <c r="AW122" s="221"/>
      <c r="AX122" s="221"/>
      <c r="AY122" s="221"/>
    </row>
    <row r="123" spans="2:51" ht="12.75">
      <c r="B123" s="31">
        <v>12</v>
      </c>
      <c r="C123" s="220" t="s">
        <v>383</v>
      </c>
      <c r="R123" s="221"/>
      <c r="S123" s="220"/>
      <c r="T123" s="221"/>
      <c r="U123" s="221"/>
      <c r="V123" s="221"/>
      <c r="W123" s="221"/>
      <c r="X123" s="221"/>
      <c r="Y123" s="221"/>
      <c r="Z123" s="221"/>
      <c r="AA123" s="221"/>
      <c r="AB123" s="221"/>
      <c r="AC123" s="221"/>
      <c r="AD123" s="221"/>
      <c r="AE123" s="221"/>
      <c r="AF123" s="221"/>
      <c r="AK123" s="221"/>
      <c r="AL123" s="220"/>
      <c r="AM123" s="221"/>
      <c r="AN123" s="221"/>
      <c r="AO123" s="221"/>
      <c r="AP123" s="221"/>
      <c r="AQ123" s="221"/>
      <c r="AR123" s="221"/>
      <c r="AS123" s="221"/>
      <c r="AT123" s="221"/>
      <c r="AU123" s="221"/>
      <c r="AV123" s="221"/>
      <c r="AW123" s="221"/>
      <c r="AX123" s="221"/>
      <c r="AY123" s="221"/>
    </row>
    <row r="124" spans="4:51" ht="12.75">
      <c r="D124" s="43">
        <v>2</v>
      </c>
      <c r="E124" s="222">
        <v>3</v>
      </c>
      <c r="F124" s="43">
        <v>4</v>
      </c>
      <c r="G124" s="222">
        <v>5</v>
      </c>
      <c r="H124" s="43">
        <v>6</v>
      </c>
      <c r="I124" s="222">
        <v>7</v>
      </c>
      <c r="J124" s="43">
        <v>8</v>
      </c>
      <c r="K124" s="222">
        <v>9</v>
      </c>
      <c r="L124" s="43">
        <v>10</v>
      </c>
      <c r="M124" s="222">
        <v>11</v>
      </c>
      <c r="N124" s="43">
        <v>12</v>
      </c>
      <c r="O124" s="222">
        <v>13</v>
      </c>
      <c r="P124" s="43">
        <v>14</v>
      </c>
      <c r="R124" s="221"/>
      <c r="S124" s="221"/>
      <c r="T124" s="223"/>
      <c r="U124" s="222"/>
      <c r="V124" s="223"/>
      <c r="W124" s="223"/>
      <c r="X124" s="222"/>
      <c r="Y124" s="223"/>
      <c r="Z124" s="223"/>
      <c r="AA124" s="222"/>
      <c r="AB124" s="223"/>
      <c r="AC124" s="223"/>
      <c r="AD124" s="222"/>
      <c r="AE124" s="223"/>
      <c r="AF124" s="223"/>
      <c r="AK124" s="221"/>
      <c r="AL124" s="221"/>
      <c r="AM124" s="223"/>
      <c r="AN124" s="222"/>
      <c r="AO124" s="223"/>
      <c r="AP124" s="223"/>
      <c r="AQ124" s="222"/>
      <c r="AR124" s="223"/>
      <c r="AS124" s="223"/>
      <c r="AT124" s="222"/>
      <c r="AU124" s="223"/>
      <c r="AV124" s="223"/>
      <c r="AW124" s="222"/>
      <c r="AX124" s="223"/>
      <c r="AY124" s="223"/>
    </row>
    <row r="125" spans="2:51" ht="13.5" thickBot="1">
      <c r="B125" s="31" t="s">
        <v>398</v>
      </c>
      <c r="D125" s="182">
        <v>0.25</v>
      </c>
      <c r="E125" s="182">
        <v>0.291666666666667</v>
      </c>
      <c r="F125" s="182">
        <v>0.333333333333334</v>
      </c>
      <c r="G125" s="182">
        <v>0.375</v>
      </c>
      <c r="H125" s="182">
        <v>0.416666666666667</v>
      </c>
      <c r="I125" s="182">
        <v>0.458333333333334</v>
      </c>
      <c r="J125" s="182">
        <v>0.5</v>
      </c>
      <c r="K125" s="182">
        <v>0.541666666666667</v>
      </c>
      <c r="L125" s="182">
        <v>0.583333333333334</v>
      </c>
      <c r="M125" s="182">
        <v>0.625</v>
      </c>
      <c r="N125" s="182">
        <v>0.666666666666667</v>
      </c>
      <c r="O125" s="182">
        <v>0.708333333333334</v>
      </c>
      <c r="P125" s="182">
        <v>0.75</v>
      </c>
      <c r="R125" s="221"/>
      <c r="S125" s="221"/>
      <c r="T125" s="224"/>
      <c r="U125" s="224"/>
      <c r="V125" s="224"/>
      <c r="W125" s="224"/>
      <c r="X125" s="224"/>
      <c r="Y125" s="224"/>
      <c r="Z125" s="224"/>
      <c r="AA125" s="224"/>
      <c r="AB125" s="224"/>
      <c r="AC125" s="224"/>
      <c r="AD125" s="224"/>
      <c r="AE125" s="224"/>
      <c r="AF125" s="224"/>
      <c r="AK125" s="221"/>
      <c r="AL125" s="221"/>
      <c r="AM125" s="224"/>
      <c r="AN125" s="224"/>
      <c r="AO125" s="224"/>
      <c r="AP125" s="224"/>
      <c r="AQ125" s="224"/>
      <c r="AR125" s="224"/>
      <c r="AS125" s="224"/>
      <c r="AT125" s="224"/>
      <c r="AU125" s="224"/>
      <c r="AV125" s="224"/>
      <c r="AW125" s="224"/>
      <c r="AX125" s="224"/>
      <c r="AY125" s="224"/>
    </row>
    <row r="126" spans="2:51" ht="12.75" customHeight="1">
      <c r="B126" s="367" t="str">
        <f>VLOOKUP(Hesap!$Y$4,B112:C123,2,0)</f>
        <v>Ağustos</v>
      </c>
      <c r="C126" s="184" t="s">
        <v>43</v>
      </c>
      <c r="D126" s="185">
        <f>VLOOKUP($B$126,$C$3:$P$14,D124,0)</f>
        <v>18.965517241379313</v>
      </c>
      <c r="E126" s="185">
        <f aca="true" t="shared" si="26" ref="E126:P126">VLOOKUP($B$126,$C$3:$P$14,E124,0)</f>
        <v>20.689655172413794</v>
      </c>
      <c r="F126" s="185">
        <f t="shared" si="26"/>
        <v>29.31034482758621</v>
      </c>
      <c r="G126" s="185">
        <f t="shared" si="26"/>
        <v>35.3448275862069</v>
      </c>
      <c r="H126" s="185">
        <f t="shared" si="26"/>
        <v>37.931034482758626</v>
      </c>
      <c r="I126" s="185">
        <f t="shared" si="26"/>
        <v>37.931034482758626</v>
      </c>
      <c r="J126" s="185">
        <f t="shared" si="26"/>
        <v>37.931034482758626</v>
      </c>
      <c r="K126" s="185">
        <f t="shared" si="26"/>
        <v>37.931034482758626</v>
      </c>
      <c r="L126" s="185">
        <f t="shared" si="26"/>
        <v>37.931034482758626</v>
      </c>
      <c r="M126" s="185">
        <f t="shared" si="26"/>
        <v>35.3448275862069</v>
      </c>
      <c r="N126" s="185">
        <f t="shared" si="26"/>
        <v>29.31034482758621</v>
      </c>
      <c r="O126" s="185">
        <f t="shared" si="26"/>
        <v>20.689655172413794</v>
      </c>
      <c r="P126" s="186">
        <f t="shared" si="26"/>
        <v>18.965517241379313</v>
      </c>
      <c r="R126" s="225"/>
      <c r="S126" s="226"/>
      <c r="T126" s="227"/>
      <c r="U126" s="227"/>
      <c r="V126" s="227"/>
      <c r="W126" s="227"/>
      <c r="X126" s="227"/>
      <c r="Y126" s="227"/>
      <c r="Z126" s="227"/>
      <c r="AA126" s="227"/>
      <c r="AB126" s="227"/>
      <c r="AC126" s="227"/>
      <c r="AD126" s="227"/>
      <c r="AE126" s="227"/>
      <c r="AF126" s="227"/>
      <c r="AK126" s="373"/>
      <c r="AL126" s="226"/>
      <c r="AM126" s="221"/>
      <c r="AN126" s="221"/>
      <c r="AO126" s="221"/>
      <c r="AP126" s="221"/>
      <c r="AQ126" s="221"/>
      <c r="AR126" s="221"/>
      <c r="AS126" s="221"/>
      <c r="AT126" s="221"/>
      <c r="AU126" s="221"/>
      <c r="AV126" s="221"/>
      <c r="AW126" s="221"/>
      <c r="AX126" s="221"/>
      <c r="AY126" s="221"/>
    </row>
    <row r="127" spans="2:51" ht="12.75">
      <c r="B127" s="368"/>
      <c r="C127" s="189" t="s">
        <v>49</v>
      </c>
      <c r="D127" s="190">
        <f>VLOOKUP($B$126,$C$15:$P$26,D124,0)</f>
        <v>183.6206896551724</v>
      </c>
      <c r="E127" s="190">
        <f aca="true" t="shared" si="27" ref="E127:P127">VLOOKUP($B$126,$C$15:$P$26,E124,0)</f>
        <v>275.86206896551727</v>
      </c>
      <c r="F127" s="190">
        <f t="shared" si="27"/>
        <v>222.41379310344828</v>
      </c>
      <c r="G127" s="190">
        <f t="shared" si="27"/>
        <v>124.13793103448276</v>
      </c>
      <c r="H127" s="190">
        <f t="shared" si="27"/>
        <v>43.10344827586207</v>
      </c>
      <c r="I127" s="190">
        <f t="shared" si="27"/>
        <v>37.931034482758626</v>
      </c>
      <c r="J127" s="190">
        <f t="shared" si="27"/>
        <v>37.931034482758626</v>
      </c>
      <c r="K127" s="190">
        <f t="shared" si="27"/>
        <v>37.931034482758626</v>
      </c>
      <c r="L127" s="190">
        <f t="shared" si="27"/>
        <v>37.931034482758626</v>
      </c>
      <c r="M127" s="190">
        <f t="shared" si="27"/>
        <v>35.3448275862069</v>
      </c>
      <c r="N127" s="190">
        <f t="shared" si="27"/>
        <v>29.31034482758621</v>
      </c>
      <c r="O127" s="190">
        <f t="shared" si="27"/>
        <v>20.689655172413794</v>
      </c>
      <c r="P127" s="191">
        <f t="shared" si="27"/>
        <v>7.758620689655173</v>
      </c>
      <c r="R127" s="225"/>
      <c r="S127" s="226"/>
      <c r="T127" s="227"/>
      <c r="U127" s="227"/>
      <c r="V127" s="227"/>
      <c r="W127" s="227"/>
      <c r="X127" s="227"/>
      <c r="Y127" s="227"/>
      <c r="Z127" s="227"/>
      <c r="AA127" s="227"/>
      <c r="AB127" s="227"/>
      <c r="AC127" s="227"/>
      <c r="AD127" s="227"/>
      <c r="AE127" s="227"/>
      <c r="AF127" s="227"/>
      <c r="AK127" s="373"/>
      <c r="AL127" s="226"/>
      <c r="AM127" s="221"/>
      <c r="AN127" s="221"/>
      <c r="AO127" s="221"/>
      <c r="AP127" s="221"/>
      <c r="AQ127" s="221"/>
      <c r="AR127" s="221"/>
      <c r="AS127" s="221"/>
      <c r="AT127" s="221"/>
      <c r="AU127" s="221"/>
      <c r="AV127" s="221"/>
      <c r="AW127" s="221"/>
      <c r="AX127" s="221"/>
      <c r="AY127" s="221"/>
    </row>
    <row r="128" spans="2:51" ht="12.75">
      <c r="B128" s="368"/>
      <c r="C128" s="189" t="s">
        <v>44</v>
      </c>
      <c r="D128" s="190">
        <f>VLOOKUP($B$126,$C$27:$P$38,D124,0)</f>
        <v>226.7241379310345</v>
      </c>
      <c r="E128" s="190">
        <f aca="true" t="shared" si="28" ref="E128:P128">VLOOKUP($B$126,$C$27:$P$38,E124,0)</f>
        <v>398.2758620689655</v>
      </c>
      <c r="F128" s="190">
        <f t="shared" si="28"/>
        <v>438.7931034482759</v>
      </c>
      <c r="G128" s="190">
        <f t="shared" si="28"/>
        <v>393.1034482758621</v>
      </c>
      <c r="H128" s="190">
        <f t="shared" si="28"/>
        <v>273.2758620689655</v>
      </c>
      <c r="I128" s="190">
        <f t="shared" si="28"/>
        <v>122.41379310344828</v>
      </c>
      <c r="J128" s="190">
        <f t="shared" si="28"/>
        <v>37.931034482758626</v>
      </c>
      <c r="K128" s="190">
        <f t="shared" si="28"/>
        <v>37.931034482758626</v>
      </c>
      <c r="L128" s="190">
        <f t="shared" si="28"/>
        <v>37.931034482758626</v>
      </c>
      <c r="M128" s="190">
        <f t="shared" si="28"/>
        <v>35.3448275862069</v>
      </c>
      <c r="N128" s="190">
        <f t="shared" si="28"/>
        <v>29.31034482758621</v>
      </c>
      <c r="O128" s="190">
        <f t="shared" si="28"/>
        <v>20.689655172413794</v>
      </c>
      <c r="P128" s="191">
        <f t="shared" si="28"/>
        <v>7.758620689655173</v>
      </c>
      <c r="R128" s="225"/>
      <c r="S128" s="226"/>
      <c r="T128" s="227"/>
      <c r="U128" s="227"/>
      <c r="V128" s="227"/>
      <c r="W128" s="227"/>
      <c r="X128" s="227"/>
      <c r="Y128" s="227"/>
      <c r="Z128" s="227"/>
      <c r="AA128" s="227"/>
      <c r="AB128" s="227"/>
      <c r="AC128" s="227"/>
      <c r="AD128" s="227"/>
      <c r="AE128" s="227"/>
      <c r="AF128" s="227"/>
      <c r="AK128" s="373"/>
      <c r="AL128" s="226"/>
      <c r="AM128" s="221"/>
      <c r="AN128" s="221"/>
      <c r="AO128" s="221"/>
      <c r="AP128" s="221"/>
      <c r="AQ128" s="221"/>
      <c r="AR128" s="221"/>
      <c r="AS128" s="221"/>
      <c r="AT128" s="221"/>
      <c r="AU128" s="221"/>
      <c r="AV128" s="221"/>
      <c r="AW128" s="221"/>
      <c r="AX128" s="221"/>
      <c r="AY128" s="221"/>
    </row>
    <row r="129" spans="2:51" ht="12.75">
      <c r="B129" s="368"/>
      <c r="C129" s="189" t="s">
        <v>52</v>
      </c>
      <c r="D129" s="190">
        <f>VLOOKUP($B$126,$C$39:$P$50,D124,0)</f>
        <v>130.17241379310346</v>
      </c>
      <c r="E129" s="190">
        <f aca="true" t="shared" si="29" ref="E129:P129">VLOOKUP($B$126,$C$39:$P$50,E124,0)</f>
        <v>283.62068965517244</v>
      </c>
      <c r="F129" s="190">
        <f t="shared" si="29"/>
        <v>374.1379310344828</v>
      </c>
      <c r="G129" s="190">
        <f t="shared" si="29"/>
        <v>395.68965517241384</v>
      </c>
      <c r="H129" s="190">
        <f t="shared" si="29"/>
        <v>376.72413793103453</v>
      </c>
      <c r="I129" s="190">
        <f t="shared" si="29"/>
        <v>289.65517241379314</v>
      </c>
      <c r="J129" s="190">
        <f t="shared" si="29"/>
        <v>179.31034482758622</v>
      </c>
      <c r="K129" s="190">
        <f t="shared" si="29"/>
        <v>67.24137931034483</v>
      </c>
      <c r="L129" s="190">
        <f t="shared" si="29"/>
        <v>37.931034482758626</v>
      </c>
      <c r="M129" s="190">
        <f t="shared" si="29"/>
        <v>35.3448275862069</v>
      </c>
      <c r="N129" s="190">
        <f t="shared" si="29"/>
        <v>31.896551724137932</v>
      </c>
      <c r="O129" s="190">
        <f t="shared" si="29"/>
        <v>20.689655172413794</v>
      </c>
      <c r="P129" s="191">
        <f t="shared" si="29"/>
        <v>7.758620689655173</v>
      </c>
      <c r="R129" s="225"/>
      <c r="S129" s="226"/>
      <c r="T129" s="227"/>
      <c r="U129" s="227"/>
      <c r="V129" s="227"/>
      <c r="W129" s="227"/>
      <c r="X129" s="227"/>
      <c r="Y129" s="227"/>
      <c r="Z129" s="227"/>
      <c r="AA129" s="227"/>
      <c r="AB129" s="227"/>
      <c r="AC129" s="227"/>
      <c r="AD129" s="227"/>
      <c r="AE129" s="227"/>
      <c r="AF129" s="227"/>
      <c r="AK129" s="373"/>
      <c r="AL129" s="226"/>
      <c r="AM129" s="221"/>
      <c r="AN129" s="221"/>
      <c r="AO129" s="221"/>
      <c r="AP129" s="221"/>
      <c r="AQ129" s="221"/>
      <c r="AR129" s="221"/>
      <c r="AS129" s="221"/>
      <c r="AT129" s="221"/>
      <c r="AU129" s="221"/>
      <c r="AV129" s="221"/>
      <c r="AW129" s="221"/>
      <c r="AX129" s="221"/>
      <c r="AY129" s="221"/>
    </row>
    <row r="130" spans="2:51" ht="12.75">
      <c r="B130" s="368"/>
      <c r="C130" s="189" t="s">
        <v>46</v>
      </c>
      <c r="D130" s="190">
        <f>VLOOKUP($B$126,$C$51:$P$62,D124,0)</f>
        <v>7.758620689655173</v>
      </c>
      <c r="E130" s="190">
        <f aca="true" t="shared" si="30" ref="E130:P130">VLOOKUP($B$126,$C$51:$P$62,E124,0)</f>
        <v>20.689655172413794</v>
      </c>
      <c r="F130" s="190">
        <f t="shared" si="30"/>
        <v>64.65517241379311</v>
      </c>
      <c r="G130" s="190">
        <f t="shared" si="30"/>
        <v>137.93103448275863</v>
      </c>
      <c r="H130" s="190">
        <f t="shared" si="30"/>
        <v>241.37931034482762</v>
      </c>
      <c r="I130" s="190">
        <f t="shared" si="30"/>
        <v>262.93103448275866</v>
      </c>
      <c r="J130" s="190">
        <f t="shared" si="30"/>
        <v>275.86206896551727</v>
      </c>
      <c r="K130" s="190">
        <f t="shared" si="30"/>
        <v>262.93103448275866</v>
      </c>
      <c r="L130" s="190">
        <f t="shared" si="30"/>
        <v>241.37931034482762</v>
      </c>
      <c r="M130" s="190">
        <f t="shared" si="30"/>
        <v>137.93103448275863</v>
      </c>
      <c r="N130" s="190">
        <f t="shared" si="30"/>
        <v>64.65517241379311</v>
      </c>
      <c r="O130" s="190">
        <f t="shared" si="30"/>
        <v>20.689655172413794</v>
      </c>
      <c r="P130" s="191">
        <f t="shared" si="30"/>
        <v>7.758620689655173</v>
      </c>
      <c r="R130" s="225"/>
      <c r="S130" s="226"/>
      <c r="T130" s="227"/>
      <c r="U130" s="227"/>
      <c r="V130" s="227"/>
      <c r="W130" s="227"/>
      <c r="X130" s="227"/>
      <c r="Y130" s="227"/>
      <c r="Z130" s="227"/>
      <c r="AA130" s="227"/>
      <c r="AB130" s="227"/>
      <c r="AC130" s="227"/>
      <c r="AD130" s="227"/>
      <c r="AE130" s="227"/>
      <c r="AF130" s="227"/>
      <c r="AK130" s="373"/>
      <c r="AL130" s="226"/>
      <c r="AM130" s="221"/>
      <c r="AN130" s="221"/>
      <c r="AO130" s="221"/>
      <c r="AP130" s="221"/>
      <c r="AQ130" s="221"/>
      <c r="AR130" s="221"/>
      <c r="AS130" s="221"/>
      <c r="AT130" s="221"/>
      <c r="AU130" s="221"/>
      <c r="AV130" s="221"/>
      <c r="AW130" s="221"/>
      <c r="AX130" s="221"/>
      <c r="AY130" s="221"/>
    </row>
    <row r="131" spans="2:51" ht="12.75">
      <c r="B131" s="368"/>
      <c r="C131" s="189" t="s">
        <v>50</v>
      </c>
      <c r="D131" s="190">
        <f>VLOOKUP($B$126,$C$63:$P$74,D124,0)</f>
        <v>7.758620689655173</v>
      </c>
      <c r="E131" s="190">
        <f aca="true" t="shared" si="31" ref="E131:P131">VLOOKUP($B$126,$C$63:$P$74,E124,0)</f>
        <v>20.689655172413794</v>
      </c>
      <c r="F131" s="190">
        <f t="shared" si="31"/>
        <v>31.896551724137932</v>
      </c>
      <c r="G131" s="190">
        <f t="shared" si="31"/>
        <v>35.3448275862069</v>
      </c>
      <c r="H131" s="190">
        <f t="shared" si="31"/>
        <v>37.931034482758626</v>
      </c>
      <c r="I131" s="190">
        <f t="shared" si="31"/>
        <v>67.24137931034483</v>
      </c>
      <c r="J131" s="190">
        <f t="shared" si="31"/>
        <v>179.31034482758622</v>
      </c>
      <c r="K131" s="190">
        <f t="shared" si="31"/>
        <v>289.65517241379314</v>
      </c>
      <c r="L131" s="190">
        <f t="shared" si="31"/>
        <v>376.72413793103453</v>
      </c>
      <c r="M131" s="190">
        <f t="shared" si="31"/>
        <v>395.68965517241384</v>
      </c>
      <c r="N131" s="190">
        <f t="shared" si="31"/>
        <v>374.1379310344828</v>
      </c>
      <c r="O131" s="190">
        <f t="shared" si="31"/>
        <v>283.62068965517244</v>
      </c>
      <c r="P131" s="191">
        <f t="shared" si="31"/>
        <v>130.17241379310346</v>
      </c>
      <c r="R131" s="225"/>
      <c r="S131" s="226"/>
      <c r="T131" s="227"/>
      <c r="U131" s="227"/>
      <c r="V131" s="227"/>
      <c r="W131" s="227"/>
      <c r="X131" s="227"/>
      <c r="Y131" s="227"/>
      <c r="Z131" s="227"/>
      <c r="AA131" s="227"/>
      <c r="AB131" s="227"/>
      <c r="AC131" s="227"/>
      <c r="AD131" s="227"/>
      <c r="AE131" s="227"/>
      <c r="AF131" s="227"/>
      <c r="AK131" s="373"/>
      <c r="AL131" s="226"/>
      <c r="AM131" s="221"/>
      <c r="AN131" s="221"/>
      <c r="AO131" s="221"/>
      <c r="AP131" s="221"/>
      <c r="AQ131" s="221"/>
      <c r="AR131" s="221"/>
      <c r="AS131" s="221"/>
      <c r="AT131" s="221"/>
      <c r="AU131" s="221"/>
      <c r="AV131" s="221"/>
      <c r="AW131" s="221"/>
      <c r="AX131" s="221"/>
      <c r="AY131" s="221"/>
    </row>
    <row r="132" spans="2:51" ht="12.75">
      <c r="B132" s="368"/>
      <c r="C132" s="189" t="s">
        <v>45</v>
      </c>
      <c r="D132" s="190">
        <f>VLOOKUP($B$126,$C$75:$P$86,D124,0)</f>
        <v>7.758620689655173</v>
      </c>
      <c r="E132" s="190">
        <f aca="true" t="shared" si="32" ref="E132:P132">VLOOKUP($B$126,$C$75:$P$86,E124,0)</f>
        <v>20.689655172413794</v>
      </c>
      <c r="F132" s="190">
        <f t="shared" si="32"/>
        <v>31.896551724137932</v>
      </c>
      <c r="G132" s="190">
        <f t="shared" si="32"/>
        <v>35.3448275862069</v>
      </c>
      <c r="H132" s="190">
        <f t="shared" si="32"/>
        <v>37.931034482758626</v>
      </c>
      <c r="I132" s="190">
        <f t="shared" si="32"/>
        <v>37.931034482758626</v>
      </c>
      <c r="J132" s="190">
        <f t="shared" si="32"/>
        <v>37.931034482758626</v>
      </c>
      <c r="K132" s="190">
        <f t="shared" si="32"/>
        <v>122.41379310344828</v>
      </c>
      <c r="L132" s="190">
        <f t="shared" si="32"/>
        <v>273.2758620689655</v>
      </c>
      <c r="M132" s="190">
        <f t="shared" si="32"/>
        <v>393.1034482758621</v>
      </c>
      <c r="N132" s="190">
        <f t="shared" si="32"/>
        <v>438.7931034482759</v>
      </c>
      <c r="O132" s="190">
        <f t="shared" si="32"/>
        <v>398.2758620689655</v>
      </c>
      <c r="P132" s="191">
        <f t="shared" si="32"/>
        <v>226.7241379310345</v>
      </c>
      <c r="R132" s="225"/>
      <c r="S132" s="226"/>
      <c r="T132" s="227"/>
      <c r="U132" s="227"/>
      <c r="V132" s="227"/>
      <c r="W132" s="227"/>
      <c r="X132" s="227"/>
      <c r="Y132" s="227"/>
      <c r="Z132" s="227"/>
      <c r="AA132" s="227"/>
      <c r="AB132" s="227"/>
      <c r="AC132" s="227"/>
      <c r="AD132" s="227"/>
      <c r="AE132" s="227"/>
      <c r="AF132" s="227"/>
      <c r="AK132" s="373"/>
      <c r="AL132" s="226"/>
      <c r="AM132" s="221"/>
      <c r="AN132" s="221"/>
      <c r="AO132" s="221"/>
      <c r="AP132" s="221"/>
      <c r="AQ132" s="221"/>
      <c r="AR132" s="221"/>
      <c r="AS132" s="221"/>
      <c r="AT132" s="221"/>
      <c r="AU132" s="221"/>
      <c r="AV132" s="221"/>
      <c r="AW132" s="221"/>
      <c r="AX132" s="221"/>
      <c r="AY132" s="221"/>
    </row>
    <row r="133" spans="2:51" ht="12.75">
      <c r="B133" s="368"/>
      <c r="C133" s="189" t="s">
        <v>51</v>
      </c>
      <c r="D133" s="190">
        <f>VLOOKUP($B$126,$C$87:$P$98,D124,0)</f>
        <v>7.758620689655173</v>
      </c>
      <c r="E133" s="190">
        <f aca="true" t="shared" si="33" ref="E133:P133">VLOOKUP($B$126,$C$87:$P$98,E124,0)</f>
        <v>20.689655172413794</v>
      </c>
      <c r="F133" s="190">
        <f t="shared" si="33"/>
        <v>31.896551724137932</v>
      </c>
      <c r="G133" s="190">
        <f t="shared" si="33"/>
        <v>35.3448275862069</v>
      </c>
      <c r="H133" s="190">
        <f t="shared" si="33"/>
        <v>37.931034482758626</v>
      </c>
      <c r="I133" s="190">
        <f t="shared" si="33"/>
        <v>37.931034482758626</v>
      </c>
      <c r="J133" s="190">
        <f t="shared" si="33"/>
        <v>37.931034482758626</v>
      </c>
      <c r="K133" s="190">
        <f t="shared" si="33"/>
        <v>37.931034482758626</v>
      </c>
      <c r="L133" s="190">
        <f t="shared" si="33"/>
        <v>43.10344827586207</v>
      </c>
      <c r="M133" s="190">
        <f t="shared" si="33"/>
        <v>124.13793103448276</v>
      </c>
      <c r="N133" s="190">
        <f t="shared" si="33"/>
        <v>222.41379310344828</v>
      </c>
      <c r="O133" s="190">
        <f t="shared" si="33"/>
        <v>275.86206896551727</v>
      </c>
      <c r="P133" s="191">
        <f t="shared" si="33"/>
        <v>183.6206896551724</v>
      </c>
      <c r="R133" s="225"/>
      <c r="S133" s="226"/>
      <c r="T133" s="227"/>
      <c r="U133" s="227"/>
      <c r="V133" s="227"/>
      <c r="W133" s="227"/>
      <c r="X133" s="227"/>
      <c r="Y133" s="227"/>
      <c r="Z133" s="227"/>
      <c r="AA133" s="227"/>
      <c r="AB133" s="227"/>
      <c r="AC133" s="227"/>
      <c r="AD133" s="227"/>
      <c r="AE133" s="227"/>
      <c r="AF133" s="227"/>
      <c r="AK133" s="373"/>
      <c r="AL133" s="226"/>
      <c r="AM133" s="221"/>
      <c r="AN133" s="221"/>
      <c r="AO133" s="221"/>
      <c r="AP133" s="221"/>
      <c r="AQ133" s="221"/>
      <c r="AR133" s="221"/>
      <c r="AS133" s="221"/>
      <c r="AT133" s="221"/>
      <c r="AU133" s="221"/>
      <c r="AV133" s="221"/>
      <c r="AW133" s="221"/>
      <c r="AX133" s="221"/>
      <c r="AY133" s="221"/>
    </row>
    <row r="134" spans="2:51" ht="13.5" thickBot="1">
      <c r="B134" s="369"/>
      <c r="C134" s="193" t="s">
        <v>53</v>
      </c>
      <c r="D134" s="194">
        <f>VLOOKUP($B$126,$C$99:$P$110,D124,0)</f>
        <v>24.13793103448276</v>
      </c>
      <c r="E134" s="194">
        <f aca="true" t="shared" si="34" ref="E134:P134">VLOOKUP($B$126,$C$99:$P$110,E124,0)</f>
        <v>126.72413793103449</v>
      </c>
      <c r="F134" s="194">
        <f t="shared" si="34"/>
        <v>270.68965517241384</v>
      </c>
      <c r="G134" s="194">
        <f t="shared" si="34"/>
        <v>406.0344827586207</v>
      </c>
      <c r="H134" s="194">
        <f t="shared" si="34"/>
        <v>500.86206896551727</v>
      </c>
      <c r="I134" s="194">
        <f t="shared" si="34"/>
        <v>556.0344827586207</v>
      </c>
      <c r="J134" s="194">
        <f t="shared" si="34"/>
        <v>580.1724137931035</v>
      </c>
      <c r="K134" s="194">
        <f t="shared" si="34"/>
        <v>556.0344827586207</v>
      </c>
      <c r="L134" s="194">
        <f t="shared" si="34"/>
        <v>500.86206896551727</v>
      </c>
      <c r="M134" s="194">
        <f t="shared" si="34"/>
        <v>406.0344827586207</v>
      </c>
      <c r="N134" s="194">
        <f t="shared" si="34"/>
        <v>270.68965517241384</v>
      </c>
      <c r="O134" s="194">
        <f t="shared" si="34"/>
        <v>126.72413793103449</v>
      </c>
      <c r="P134" s="195">
        <f t="shared" si="34"/>
        <v>24.13793103448276</v>
      </c>
      <c r="R134" s="225"/>
      <c r="S134" s="226"/>
      <c r="T134" s="227"/>
      <c r="U134" s="227"/>
      <c r="V134" s="227"/>
      <c r="W134" s="227"/>
      <c r="X134" s="227"/>
      <c r="Y134" s="227"/>
      <c r="Z134" s="227"/>
      <c r="AA134" s="227"/>
      <c r="AB134" s="227"/>
      <c r="AC134" s="227"/>
      <c r="AD134" s="227"/>
      <c r="AE134" s="227"/>
      <c r="AF134" s="227"/>
      <c r="AK134" s="373"/>
      <c r="AL134" s="226"/>
      <c r="AM134" s="221"/>
      <c r="AN134" s="221"/>
      <c r="AO134" s="221"/>
      <c r="AP134" s="221"/>
      <c r="AQ134" s="221"/>
      <c r="AR134" s="221"/>
      <c r="AS134" s="221"/>
      <c r="AT134" s="221"/>
      <c r="AU134" s="221"/>
      <c r="AV134" s="221"/>
      <c r="AW134" s="221"/>
      <c r="AX134" s="221"/>
      <c r="AY134" s="221"/>
    </row>
  </sheetData>
  <sheetProtection/>
  <mergeCells count="35">
    <mergeCell ref="AK30:AK38"/>
    <mergeCell ref="AK39:AK47"/>
    <mergeCell ref="AK48:AK56"/>
    <mergeCell ref="AK57:AK65"/>
    <mergeCell ref="AK102:AK110"/>
    <mergeCell ref="AK126:AK134"/>
    <mergeCell ref="AK66:AK74"/>
    <mergeCell ref="AK75:AK83"/>
    <mergeCell ref="AK84:AK92"/>
    <mergeCell ref="AK93:AK101"/>
    <mergeCell ref="R3:R11"/>
    <mergeCell ref="AK3:AK11"/>
    <mergeCell ref="AK12:AK20"/>
    <mergeCell ref="AK21:AK29"/>
    <mergeCell ref="R12:R20"/>
    <mergeCell ref="R21:R29"/>
    <mergeCell ref="R102:R110"/>
    <mergeCell ref="R30:R38"/>
    <mergeCell ref="R75:R83"/>
    <mergeCell ref="R84:R92"/>
    <mergeCell ref="R48:R56"/>
    <mergeCell ref="R57:R65"/>
    <mergeCell ref="R66:R74"/>
    <mergeCell ref="R39:R47"/>
    <mergeCell ref="R93:R101"/>
    <mergeCell ref="B126:B134"/>
    <mergeCell ref="B3:B14"/>
    <mergeCell ref="B15:B26"/>
    <mergeCell ref="B27:B38"/>
    <mergeCell ref="B39:B50"/>
    <mergeCell ref="B51:B62"/>
    <mergeCell ref="B63:B74"/>
    <mergeCell ref="B75:B86"/>
    <mergeCell ref="B87:B98"/>
    <mergeCell ref="B99:B110"/>
  </mergeCells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1"/>
  <dimension ref="B1:Y352"/>
  <sheetViews>
    <sheetView zoomScale="80" zoomScaleNormal="80" zoomScalePageLayoutView="0" workbookViewId="0" topLeftCell="A1">
      <selection activeCell="W13" sqref="W13"/>
    </sheetView>
  </sheetViews>
  <sheetFormatPr defaultColWidth="9.140625" defaultRowHeight="16.5" customHeight="1"/>
  <cols>
    <col min="1" max="1" width="0.85546875" style="5" customWidth="1"/>
    <col min="2" max="3" width="7.7109375" style="5" customWidth="1"/>
    <col min="4" max="4" width="8.421875" style="5" bestFit="1" customWidth="1"/>
    <col min="5" max="5" width="5.8515625" style="5" bestFit="1" customWidth="1"/>
    <col min="6" max="6" width="12.28125" style="5" bestFit="1" customWidth="1"/>
    <col min="7" max="7" width="11.8515625" style="5" customWidth="1"/>
    <col min="8" max="8" width="13.140625" style="5" bestFit="1" customWidth="1"/>
    <col min="9" max="16" width="12.7109375" style="5" customWidth="1"/>
    <col min="17" max="17" width="9.28125" style="5" customWidth="1"/>
    <col min="18" max="19" width="6.7109375" style="5" customWidth="1"/>
    <col min="20" max="20" width="13.421875" style="5" bestFit="1" customWidth="1"/>
    <col min="21" max="21" width="9.140625" style="5" customWidth="1"/>
    <col min="22" max="22" width="12.57421875" style="5" bestFit="1" customWidth="1"/>
    <col min="23" max="16384" width="9.140625" style="5" customWidth="1"/>
  </cols>
  <sheetData>
    <row r="1" spans="2:20" ht="37.5" customHeight="1">
      <c r="B1" s="267" t="s">
        <v>413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</row>
    <row r="2" ht="6.75" customHeight="1" thickBot="1"/>
    <row r="3" spans="2:20" s="77" customFormat="1" ht="16.5" customHeight="1">
      <c r="B3" s="282" t="s">
        <v>386</v>
      </c>
      <c r="C3" s="283"/>
      <c r="D3" s="283"/>
      <c r="E3" s="324"/>
      <c r="F3" s="324"/>
      <c r="G3" s="325"/>
      <c r="H3" s="344" t="s">
        <v>181</v>
      </c>
      <c r="I3" s="158" t="s">
        <v>13</v>
      </c>
      <c r="J3" s="154" t="s">
        <v>390</v>
      </c>
      <c r="K3" s="228" t="s">
        <v>391</v>
      </c>
      <c r="L3" s="154" t="s">
        <v>179</v>
      </c>
      <c r="M3" s="155" t="s">
        <v>188</v>
      </c>
      <c r="N3" s="133" t="s">
        <v>190</v>
      </c>
      <c r="O3" s="162">
        <v>1</v>
      </c>
      <c r="P3" s="163"/>
      <c r="Q3" s="229"/>
      <c r="R3" s="230"/>
      <c r="S3" s="160"/>
      <c r="T3" s="161"/>
    </row>
    <row r="4" spans="2:25" s="77" customFormat="1" ht="16.5" customHeight="1" thickBot="1">
      <c r="B4" s="274" t="s">
        <v>385</v>
      </c>
      <c r="C4" s="275"/>
      <c r="D4" s="275"/>
      <c r="E4" s="276" t="str">
        <f>VLOOKUP($Y$4,'Güneş Şiddeti'!$B$112:$C$123,2,0)</f>
        <v>Temmuz</v>
      </c>
      <c r="F4" s="276"/>
      <c r="G4" s="277"/>
      <c r="H4" s="345"/>
      <c r="I4" s="80" t="s">
        <v>387</v>
      </c>
      <c r="J4" s="81">
        <f>VLOOKUP(E6,'Dış Hava'!$B$6:$S$60,10,0)</f>
        <v>-6</v>
      </c>
      <c r="K4" s="82">
        <v>22</v>
      </c>
      <c r="L4" s="81">
        <f>-J4+K4</f>
        <v>28</v>
      </c>
      <c r="M4" s="83"/>
      <c r="N4" s="79" t="s">
        <v>184</v>
      </c>
      <c r="O4" s="254"/>
      <c r="P4" s="164"/>
      <c r="Q4" s="89"/>
      <c r="R4" s="90"/>
      <c r="S4" s="326"/>
      <c r="T4" s="327"/>
      <c r="Y4" s="77">
        <v>7</v>
      </c>
    </row>
    <row r="5" spans="2:25" s="77" customFormat="1" ht="16.5" customHeight="1">
      <c r="B5" s="274" t="s">
        <v>187</v>
      </c>
      <c r="C5" s="275"/>
      <c r="D5" s="275"/>
      <c r="E5" s="324"/>
      <c r="F5" s="324"/>
      <c r="G5" s="325"/>
      <c r="H5" s="345"/>
      <c r="I5" s="80" t="s">
        <v>388</v>
      </c>
      <c r="J5" s="81">
        <f>VLOOKUP(E6,'Dış Hava'!$B$6:$S$60,11,0)</f>
        <v>37</v>
      </c>
      <c r="K5" s="82">
        <v>24</v>
      </c>
      <c r="L5" s="81">
        <f>+J5-K5</f>
        <v>13</v>
      </c>
      <c r="M5" s="156"/>
      <c r="N5" s="79" t="s">
        <v>185</v>
      </c>
      <c r="O5" s="268"/>
      <c r="P5" s="269"/>
      <c r="Q5" s="89"/>
      <c r="R5" s="90"/>
      <c r="S5" s="326"/>
      <c r="T5" s="327"/>
      <c r="Y5" s="77">
        <v>13</v>
      </c>
    </row>
    <row r="6" spans="2:20" s="77" customFormat="1" ht="16.5" customHeight="1">
      <c r="B6" s="274" t="s">
        <v>0</v>
      </c>
      <c r="C6" s="275"/>
      <c r="D6" s="275"/>
      <c r="E6" s="276" t="str">
        <f>VLOOKUP($Y$5,'Dış Hava'!$A$6:$B$60,2,0)</f>
        <v>Bursa</v>
      </c>
      <c r="F6" s="276"/>
      <c r="G6" s="277"/>
      <c r="H6" s="345"/>
      <c r="I6" s="80" t="s">
        <v>389</v>
      </c>
      <c r="J6" s="81">
        <f>VLOOKUP(E6,'Dış Hava'!$B$6:$S$60,13,0)</f>
        <v>25</v>
      </c>
      <c r="K6" s="82">
        <v>18.5</v>
      </c>
      <c r="L6" s="81">
        <f>+J6-K6</f>
        <v>6.5</v>
      </c>
      <c r="M6" s="248"/>
      <c r="N6" s="79" t="s">
        <v>411</v>
      </c>
      <c r="O6" s="268" t="s">
        <v>412</v>
      </c>
      <c r="P6" s="269"/>
      <c r="Q6" s="89"/>
      <c r="R6" s="90"/>
      <c r="S6" s="347"/>
      <c r="T6" s="348"/>
    </row>
    <row r="7" spans="2:20" s="77" customFormat="1" ht="16.5" customHeight="1">
      <c r="B7" s="278" t="s">
        <v>1</v>
      </c>
      <c r="C7" s="279"/>
      <c r="D7" s="280"/>
      <c r="E7" s="281"/>
      <c r="F7" s="78" t="s">
        <v>2</v>
      </c>
      <c r="G7" s="258"/>
      <c r="H7" s="345"/>
      <c r="I7" s="80" t="s">
        <v>393</v>
      </c>
      <c r="J7" s="247">
        <f>VLOOKUP(E6,'Dış Hava'!$B$6:$S$60,15,0)/100</f>
        <v>0.38</v>
      </c>
      <c r="K7" s="153">
        <v>0.5</v>
      </c>
      <c r="L7" s="152" t="s">
        <v>392</v>
      </c>
      <c r="M7" s="83"/>
      <c r="N7" s="79" t="s">
        <v>362</v>
      </c>
      <c r="O7" s="270"/>
      <c r="P7" s="271"/>
      <c r="Q7" s="333"/>
      <c r="R7" s="334"/>
      <c r="S7" s="334"/>
      <c r="T7" s="335"/>
    </row>
    <row r="8" spans="2:20" s="77" customFormat="1" ht="16.5" customHeight="1" thickBot="1">
      <c r="B8" s="179" t="s">
        <v>186</v>
      </c>
      <c r="C8" s="84"/>
      <c r="D8" s="328" t="s">
        <v>416</v>
      </c>
      <c r="E8" s="329"/>
      <c r="F8" s="329"/>
      <c r="G8" s="330"/>
      <c r="H8" s="346"/>
      <c r="I8" s="159" t="s">
        <v>189</v>
      </c>
      <c r="J8" s="131">
        <f>VLOOKUP(E6,'Dış Hava'!$B$6:$S$60,16,0)</f>
        <v>15</v>
      </c>
      <c r="K8" s="231">
        <v>10.5</v>
      </c>
      <c r="L8" s="157">
        <f>+J8-K8</f>
        <v>4.5</v>
      </c>
      <c r="M8" s="106"/>
      <c r="N8" s="132" t="s">
        <v>180</v>
      </c>
      <c r="O8" s="272"/>
      <c r="P8" s="273"/>
      <c r="Q8" s="336"/>
      <c r="R8" s="337"/>
      <c r="S8" s="337"/>
      <c r="T8" s="338"/>
    </row>
    <row r="9" spans="2:20" s="77" customFormat="1" ht="18" customHeight="1" thickBot="1">
      <c r="B9" s="232" t="s">
        <v>3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109"/>
    </row>
    <row r="10" spans="2:20" s="77" customFormat="1" ht="18" customHeight="1" thickBot="1">
      <c r="B10" s="339" t="s">
        <v>183</v>
      </c>
      <c r="C10" s="341" t="s">
        <v>4</v>
      </c>
      <c r="D10" s="341" t="s">
        <v>182</v>
      </c>
      <c r="E10" s="341" t="s">
        <v>5</v>
      </c>
      <c r="F10" s="317" t="s">
        <v>8</v>
      </c>
      <c r="G10" s="317" t="s">
        <v>9</v>
      </c>
      <c r="H10" s="319" t="s">
        <v>10</v>
      </c>
      <c r="I10" s="321" t="s">
        <v>11</v>
      </c>
      <c r="J10" s="322"/>
      <c r="K10" s="322"/>
      <c r="L10" s="322"/>
      <c r="M10" s="322"/>
      <c r="N10" s="322"/>
      <c r="O10" s="323"/>
      <c r="P10" s="321" t="s">
        <v>12</v>
      </c>
      <c r="Q10" s="322"/>
      <c r="R10" s="322"/>
      <c r="S10" s="322"/>
      <c r="T10" s="323"/>
    </row>
    <row r="11" spans="2:20" s="77" customFormat="1" ht="39.75" customHeight="1" thickBot="1">
      <c r="B11" s="340"/>
      <c r="C11" s="342"/>
      <c r="D11" s="343"/>
      <c r="E11" s="342"/>
      <c r="F11" s="318"/>
      <c r="G11" s="318"/>
      <c r="H11" s="320"/>
      <c r="I11" s="13" t="s">
        <v>168</v>
      </c>
      <c r="J11" s="14" t="s">
        <v>162</v>
      </c>
      <c r="K11" s="15" t="s">
        <v>163</v>
      </c>
      <c r="L11" s="16" t="s">
        <v>167</v>
      </c>
      <c r="M11" s="13" t="s">
        <v>164</v>
      </c>
      <c r="N11" s="14" t="s">
        <v>165</v>
      </c>
      <c r="O11" s="15" t="s">
        <v>166</v>
      </c>
      <c r="P11" s="17" t="s">
        <v>7</v>
      </c>
      <c r="Q11" s="127" t="s">
        <v>363</v>
      </c>
      <c r="R11" s="349" t="s">
        <v>48</v>
      </c>
      <c r="S11" s="350"/>
      <c r="T11" s="18" t="s">
        <v>6</v>
      </c>
    </row>
    <row r="12" spans="2:20" s="77" customFormat="1" ht="18" customHeight="1">
      <c r="B12" s="167"/>
      <c r="C12" s="168"/>
      <c r="D12" s="260"/>
      <c r="E12" s="260"/>
      <c r="F12" s="169">
        <f aca="true" t="shared" si="0" ref="F12:F22">+D12*E12</f>
        <v>0</v>
      </c>
      <c r="G12" s="260"/>
      <c r="H12" s="170">
        <f>+F12-G12</f>
        <v>0</v>
      </c>
      <c r="I12" s="243">
        <f>IF(B12="Dp",VLOOKUP(C12,'Güneş Şiddeti'!$C$126:$P$134,4,0),0)</f>
        <v>0</v>
      </c>
      <c r="J12" s="244">
        <f>IF(B12="Dp",VLOOKUP(C12,'Güneş Şiddeti'!$C$126:$P$134,8,0),0)</f>
        <v>0</v>
      </c>
      <c r="K12" s="245">
        <f>IF(B12="Dp",VLOOKUP(C12,'Güneş Şiddeti'!$C$126:$P$134,12,0),0)</f>
        <v>0</v>
      </c>
      <c r="L12" s="246">
        <f>VLOOKUP(B12,'K Değerleri'!$C$3:$G$17,5,0)</f>
        <v>0</v>
      </c>
      <c r="M12" s="22">
        <f>+H12*I12*L12</f>
        <v>0</v>
      </c>
      <c r="N12" s="23">
        <f>+H12*J12*L12</f>
        <v>0</v>
      </c>
      <c r="O12" s="24">
        <f>+H12*K12*L12</f>
        <v>0</v>
      </c>
      <c r="P12" s="34">
        <f>VLOOKUP(B12,'K Değerleri'!$C$3:$E$35,3,0)</f>
        <v>0</v>
      </c>
      <c r="Q12" s="35">
        <f>VLOOKUP(B12,'K Değerleri'!$C$3:$P$17,VLOOKUP(C12,'K Değerleri'!$E$20:$F$28,2,0),0)</f>
        <v>0</v>
      </c>
      <c r="R12" s="331">
        <f>+P12*Q12</f>
        <v>0</v>
      </c>
      <c r="S12" s="332"/>
      <c r="T12" s="28">
        <f>+R12*H12</f>
        <v>0</v>
      </c>
    </row>
    <row r="13" spans="2:20" s="77" customFormat="1" ht="18" customHeight="1">
      <c r="B13" s="32"/>
      <c r="C13" s="75"/>
      <c r="D13" s="261"/>
      <c r="E13" s="261"/>
      <c r="F13" s="19">
        <f t="shared" si="0"/>
        <v>0</v>
      </c>
      <c r="G13" s="264"/>
      <c r="H13" s="171">
        <f>+F13-G13</f>
        <v>0</v>
      </c>
      <c r="I13" s="243">
        <f>IF(B13="Dp",VLOOKUP(C13,'Güneş Şiddeti'!$C$126:$P$134,4,0),0)</f>
        <v>0</v>
      </c>
      <c r="J13" s="244">
        <f>IF(B13="Dp",VLOOKUP(C13,'Güneş Şiddeti'!$C$126:$P$134,8,0),0)</f>
        <v>0</v>
      </c>
      <c r="K13" s="245">
        <f>IF(B13="Dp",VLOOKUP(C13,'Güneş Şiddeti'!$C$126:$P$134,12,0),0)</f>
        <v>0</v>
      </c>
      <c r="L13" s="246">
        <f>VLOOKUP(B13,'K Değerleri'!$C$3:$G$17,5,0)</f>
        <v>0</v>
      </c>
      <c r="M13" s="25">
        <f>+H13*I13*L13</f>
        <v>0</v>
      </c>
      <c r="N13" s="26">
        <f>+H13*J13*L13</f>
        <v>0</v>
      </c>
      <c r="O13" s="27">
        <f>+H13*K13*L13</f>
        <v>0</v>
      </c>
      <c r="P13" s="36">
        <f>VLOOKUP(B13,'K Değerleri'!$C$3:$E$35,3,0)</f>
        <v>0</v>
      </c>
      <c r="Q13" s="35">
        <f>VLOOKUP(B13,'K Değerleri'!$C$3:$P$17,VLOOKUP(C13,'K Değerleri'!$E$20:$F$28,2,0),0)</f>
        <v>0</v>
      </c>
      <c r="R13" s="315">
        <f>+P13*Q13</f>
        <v>0</v>
      </c>
      <c r="S13" s="316"/>
      <c r="T13" s="29">
        <f>+R13*H13</f>
        <v>0</v>
      </c>
    </row>
    <row r="14" spans="2:22" s="77" customFormat="1" ht="18" customHeight="1">
      <c r="B14" s="32"/>
      <c r="C14" s="75"/>
      <c r="D14" s="261"/>
      <c r="E14" s="261"/>
      <c r="F14" s="19">
        <f t="shared" si="0"/>
        <v>0</v>
      </c>
      <c r="G14" s="264"/>
      <c r="H14" s="171">
        <f>+F14-G14</f>
        <v>0</v>
      </c>
      <c r="I14" s="243">
        <f>IF(B14="Dp",VLOOKUP(C14,'Güneş Şiddeti'!$C$126:$P$134,4,0),0)</f>
        <v>0</v>
      </c>
      <c r="J14" s="244">
        <f>IF(B14="Dp",VLOOKUP(C14,'Güneş Şiddeti'!$C$126:$P$134,8,0),0)</f>
        <v>0</v>
      </c>
      <c r="K14" s="245">
        <f>IF(B14="Dp",VLOOKUP(C14,'Güneş Şiddeti'!$C$126:$P$134,12,0),0)</f>
        <v>0</v>
      </c>
      <c r="L14" s="246">
        <f>VLOOKUP(B14,'K Değerleri'!$C$3:$G$17,5,0)</f>
        <v>0</v>
      </c>
      <c r="M14" s="25">
        <f>+H14*I14*L14</f>
        <v>0</v>
      </c>
      <c r="N14" s="26">
        <f>+H14*J14*L14</f>
        <v>0</v>
      </c>
      <c r="O14" s="27">
        <f>+H14*K14*L14</f>
        <v>0</v>
      </c>
      <c r="P14" s="36">
        <f>VLOOKUP(B14,'K Değerleri'!$C$3:$E$35,3,0)</f>
        <v>0</v>
      </c>
      <c r="Q14" s="35">
        <f>VLOOKUP(B14,'K Değerleri'!$C$3:$P$17,VLOOKUP(C14,'K Değerleri'!$E$20:$F$28,2,0),0)</f>
        <v>0</v>
      </c>
      <c r="R14" s="315">
        <f aca="true" t="shared" si="1" ref="R14:R22">+P14*Q14</f>
        <v>0</v>
      </c>
      <c r="S14" s="316"/>
      <c r="T14" s="29">
        <f aca="true" t="shared" si="2" ref="T14:T22">+R14*H14</f>
        <v>0</v>
      </c>
      <c r="V14" s="77">
        <f>+P14/0.86</f>
        <v>0</v>
      </c>
    </row>
    <row r="15" spans="2:20" s="77" customFormat="1" ht="18" customHeight="1">
      <c r="B15" s="32"/>
      <c r="C15" s="75"/>
      <c r="D15" s="261"/>
      <c r="E15" s="261"/>
      <c r="F15" s="19">
        <f t="shared" si="0"/>
        <v>0</v>
      </c>
      <c r="G15" s="264"/>
      <c r="H15" s="171">
        <f>+F15-G15</f>
        <v>0</v>
      </c>
      <c r="I15" s="243">
        <f>IF(B15="Dp",VLOOKUP(C15,'Güneş Şiddeti'!$C$126:$P$134,4,0),0)</f>
        <v>0</v>
      </c>
      <c r="J15" s="244">
        <f>IF(B15="Dp",VLOOKUP(C15,'Güneş Şiddeti'!$C$126:$P$134,8,0),0)</f>
        <v>0</v>
      </c>
      <c r="K15" s="245">
        <f>IF(B15="Dp",VLOOKUP(C15,'Güneş Şiddeti'!$C$126:$P$134,12,0),0)</f>
        <v>0</v>
      </c>
      <c r="L15" s="246">
        <f>VLOOKUP(B15,'K Değerleri'!$C$3:$G$17,5,0)</f>
        <v>0</v>
      </c>
      <c r="M15" s="25">
        <f>+H15*I15*L15</f>
        <v>0</v>
      </c>
      <c r="N15" s="26">
        <f>+H15*J15*L15</f>
        <v>0</v>
      </c>
      <c r="O15" s="27">
        <f>+H15*K15*L15</f>
        <v>0</v>
      </c>
      <c r="P15" s="36">
        <f>VLOOKUP(B15,'K Değerleri'!$C$3:$E$35,3,0)</f>
        <v>0</v>
      </c>
      <c r="Q15" s="35">
        <f>VLOOKUP(B15,'K Değerleri'!$C$3:$P$17,VLOOKUP(C15,'K Değerleri'!$E$20:$F$28,2,0),0)</f>
        <v>0</v>
      </c>
      <c r="R15" s="315">
        <f t="shared" si="1"/>
        <v>0</v>
      </c>
      <c r="S15" s="316"/>
      <c r="T15" s="29">
        <f t="shared" si="2"/>
        <v>0</v>
      </c>
    </row>
    <row r="16" spans="2:20" s="77" customFormat="1" ht="18" customHeight="1">
      <c r="B16" s="32"/>
      <c r="C16" s="75"/>
      <c r="D16" s="261"/>
      <c r="E16" s="261"/>
      <c r="F16" s="19">
        <f t="shared" si="0"/>
        <v>0</v>
      </c>
      <c r="G16" s="264"/>
      <c r="H16" s="171">
        <f aca="true" t="shared" si="3" ref="H16:H22">+F16-G16</f>
        <v>0</v>
      </c>
      <c r="I16" s="243">
        <f>IF(B16="Dp",VLOOKUP(C16,'Güneş Şiddeti'!$C$126:$P$134,4,0),0)</f>
        <v>0</v>
      </c>
      <c r="J16" s="244">
        <f>IF(B16="Dp",VLOOKUP(C16,'Güneş Şiddeti'!$C$126:$P$134,8,0),0)</f>
        <v>0</v>
      </c>
      <c r="K16" s="245">
        <f>IF(B16="Dp",VLOOKUP(C16,'Güneş Şiddeti'!$C$126:$P$134,12,0),0)</f>
        <v>0</v>
      </c>
      <c r="L16" s="246">
        <f>VLOOKUP(B16,'K Değerleri'!$C$3:$G$17,5,0)</f>
        <v>0</v>
      </c>
      <c r="M16" s="25">
        <f>+H16*I16*L16</f>
        <v>0</v>
      </c>
      <c r="N16" s="26">
        <f>+H16*J16*L16</f>
        <v>0</v>
      </c>
      <c r="O16" s="27">
        <f>+H16*K16*L16</f>
        <v>0</v>
      </c>
      <c r="P16" s="259">
        <f>VLOOKUP(B16,'K Değerleri'!$C$3:$E$35,3,0)</f>
        <v>0</v>
      </c>
      <c r="Q16" s="35">
        <f>VLOOKUP(B16,'K Değerleri'!$C$3:$P$17,VLOOKUP(C16,'K Değerleri'!$E$20:$F$28,2,0),0)</f>
        <v>0</v>
      </c>
      <c r="R16" s="315">
        <f t="shared" si="1"/>
        <v>0</v>
      </c>
      <c r="S16" s="316"/>
      <c r="T16" s="29">
        <f t="shared" si="2"/>
        <v>0</v>
      </c>
    </row>
    <row r="17" spans="2:20" s="77" customFormat="1" ht="18" customHeight="1">
      <c r="B17" s="32"/>
      <c r="C17" s="75"/>
      <c r="D17" s="8"/>
      <c r="E17" s="8"/>
      <c r="F17" s="19">
        <f t="shared" si="0"/>
        <v>0</v>
      </c>
      <c r="G17" s="9"/>
      <c r="H17" s="171">
        <f t="shared" si="3"/>
        <v>0</v>
      </c>
      <c r="I17" s="243">
        <f>IF(B17="Dp",VLOOKUP(C17,'Güneş Şiddeti'!$C$126:$P$134,4,0),0)</f>
        <v>0</v>
      </c>
      <c r="J17" s="244">
        <f>IF(B17="Dp",VLOOKUP(C17,'Güneş Şiddeti'!$C$126:$P$134,8,0),0)</f>
        <v>0</v>
      </c>
      <c r="K17" s="245">
        <f>IF(B17="Dp",VLOOKUP(C17,'Güneş Şiddeti'!$C$126:$P$134,12,0),0)</f>
        <v>0</v>
      </c>
      <c r="L17" s="246">
        <f>VLOOKUP(B17,'K Değerleri'!$C$3:$G$17,5,0)</f>
        <v>0</v>
      </c>
      <c r="M17" s="25">
        <f aca="true" t="shared" si="4" ref="M17:M22">+H17*I17*L17</f>
        <v>0</v>
      </c>
      <c r="N17" s="26">
        <f aca="true" t="shared" si="5" ref="N17:N22">+H17*J17*L17</f>
        <v>0</v>
      </c>
      <c r="O17" s="27">
        <f aca="true" t="shared" si="6" ref="O17:O22">+H17*K17*L17</f>
        <v>0</v>
      </c>
      <c r="P17" s="36">
        <f>VLOOKUP(B17,'K Değerleri'!$C$3:$E$35,3,0)</f>
        <v>0</v>
      </c>
      <c r="Q17" s="35">
        <f>VLOOKUP(B17,'K Değerleri'!$C$3:$P$17,VLOOKUP(C17,'K Değerleri'!$E$20:$F$28,2,0),0)</f>
        <v>0</v>
      </c>
      <c r="R17" s="315">
        <f t="shared" si="1"/>
        <v>0</v>
      </c>
      <c r="S17" s="316"/>
      <c r="T17" s="29">
        <f t="shared" si="2"/>
        <v>0</v>
      </c>
    </row>
    <row r="18" spans="2:20" s="77" customFormat="1" ht="18" customHeight="1">
      <c r="B18" s="32"/>
      <c r="C18" s="75"/>
      <c r="D18" s="8"/>
      <c r="E18" s="8"/>
      <c r="F18" s="19">
        <f t="shared" si="0"/>
        <v>0</v>
      </c>
      <c r="G18" s="9"/>
      <c r="H18" s="171">
        <f t="shared" si="3"/>
        <v>0</v>
      </c>
      <c r="I18" s="243">
        <f>IF(B18="Dp",VLOOKUP(C18,'Güneş Şiddeti'!$C$126:$P$134,4,0),0)</f>
        <v>0</v>
      </c>
      <c r="J18" s="244">
        <f>IF(B18="Dp",VLOOKUP(C18,'Güneş Şiddeti'!$C$126:$P$134,8,0),0)</f>
        <v>0</v>
      </c>
      <c r="K18" s="245">
        <f>IF(B18="Dp",VLOOKUP(C18,'Güneş Şiddeti'!$C$126:$P$134,12,0),0)</f>
        <v>0</v>
      </c>
      <c r="L18" s="246">
        <f>VLOOKUP(B18,'K Değerleri'!$C$3:$G$17,5,0)</f>
        <v>0</v>
      </c>
      <c r="M18" s="25">
        <f t="shared" si="4"/>
        <v>0</v>
      </c>
      <c r="N18" s="26">
        <f t="shared" si="5"/>
        <v>0</v>
      </c>
      <c r="O18" s="27">
        <f t="shared" si="6"/>
        <v>0</v>
      </c>
      <c r="P18" s="36">
        <f>VLOOKUP(B18,'K Değerleri'!$C$3:$E$35,3,0)</f>
        <v>0</v>
      </c>
      <c r="Q18" s="35">
        <f>VLOOKUP(B18,'K Değerleri'!$C$3:$P$17,VLOOKUP(C18,'K Değerleri'!$E$20:$F$28,2,0),0)</f>
        <v>0</v>
      </c>
      <c r="R18" s="315">
        <f t="shared" si="1"/>
        <v>0</v>
      </c>
      <c r="S18" s="316"/>
      <c r="T18" s="29">
        <f t="shared" si="2"/>
        <v>0</v>
      </c>
    </row>
    <row r="19" spans="2:20" s="77" customFormat="1" ht="18" customHeight="1">
      <c r="B19" s="32"/>
      <c r="C19" s="75"/>
      <c r="D19" s="8"/>
      <c r="E19" s="8"/>
      <c r="F19" s="19">
        <f t="shared" si="0"/>
        <v>0</v>
      </c>
      <c r="G19" s="9"/>
      <c r="H19" s="171">
        <f t="shared" si="3"/>
        <v>0</v>
      </c>
      <c r="I19" s="243">
        <f>IF(B19="Dp",VLOOKUP(C19,'Güneş Şiddeti'!$C$126:$P$134,4,0),0)</f>
        <v>0</v>
      </c>
      <c r="J19" s="244">
        <f>IF(B19="Dp",VLOOKUP(C19,'Güneş Şiddeti'!$C$126:$P$134,8,0),0)</f>
        <v>0</v>
      </c>
      <c r="K19" s="245">
        <f>IF(B19="Dp",VLOOKUP(C19,'Güneş Şiddeti'!$C$126:$P$134,12,0),0)</f>
        <v>0</v>
      </c>
      <c r="L19" s="246">
        <f>VLOOKUP(B19,'K Değerleri'!$C$3:$G$17,5,0)</f>
        <v>0</v>
      </c>
      <c r="M19" s="25">
        <f t="shared" si="4"/>
        <v>0</v>
      </c>
      <c r="N19" s="26">
        <f t="shared" si="5"/>
        <v>0</v>
      </c>
      <c r="O19" s="27">
        <f t="shared" si="6"/>
        <v>0</v>
      </c>
      <c r="P19" s="36">
        <f>VLOOKUP(B19,'K Değerleri'!$C$3:$E$35,3,0)</f>
        <v>0</v>
      </c>
      <c r="Q19" s="35">
        <f>VLOOKUP(B19,'K Değerleri'!$C$3:$P$17,VLOOKUP(C19,'K Değerleri'!$E$20:$F$28,2,0),0)</f>
        <v>0</v>
      </c>
      <c r="R19" s="315">
        <f t="shared" si="1"/>
        <v>0</v>
      </c>
      <c r="S19" s="316"/>
      <c r="T19" s="29">
        <f t="shared" si="2"/>
        <v>0</v>
      </c>
    </row>
    <row r="20" spans="2:20" s="77" customFormat="1" ht="18" customHeight="1">
      <c r="B20" s="32"/>
      <c r="C20" s="75"/>
      <c r="D20" s="8"/>
      <c r="E20" s="8"/>
      <c r="F20" s="19">
        <f t="shared" si="0"/>
        <v>0</v>
      </c>
      <c r="G20" s="8"/>
      <c r="H20" s="171">
        <f t="shared" si="3"/>
        <v>0</v>
      </c>
      <c r="I20" s="243">
        <f>IF(B20="Dp",VLOOKUP(C20,'Güneş Şiddeti'!$C$126:$P$134,4,0),0)</f>
        <v>0</v>
      </c>
      <c r="J20" s="244">
        <f>IF(B20="Dp",VLOOKUP(C20,'Güneş Şiddeti'!$C$126:$P$134,8,0),0)</f>
        <v>0</v>
      </c>
      <c r="K20" s="245">
        <f>IF(B20="Dp",VLOOKUP(C20,'Güneş Şiddeti'!$C$126:$P$134,12,0),0)</f>
        <v>0</v>
      </c>
      <c r="L20" s="246">
        <f>VLOOKUP(B20,'K Değerleri'!$C$3:$G$17,5,0)</f>
        <v>0</v>
      </c>
      <c r="M20" s="25">
        <f t="shared" si="4"/>
        <v>0</v>
      </c>
      <c r="N20" s="26">
        <f t="shared" si="5"/>
        <v>0</v>
      </c>
      <c r="O20" s="27">
        <f t="shared" si="6"/>
        <v>0</v>
      </c>
      <c r="P20" s="36">
        <f>VLOOKUP(B20,'K Değerleri'!$C$3:$E$35,3,0)</f>
        <v>0</v>
      </c>
      <c r="Q20" s="35">
        <f>VLOOKUP(B20,'K Değerleri'!$C$3:$P$17,VLOOKUP(C20,'K Değerleri'!$E$20:$F$28,2,0),0)</f>
        <v>0</v>
      </c>
      <c r="R20" s="315">
        <f t="shared" si="1"/>
        <v>0</v>
      </c>
      <c r="S20" s="316"/>
      <c r="T20" s="29">
        <f t="shared" si="2"/>
        <v>0</v>
      </c>
    </row>
    <row r="21" spans="2:20" s="77" customFormat="1" ht="18" customHeight="1">
      <c r="B21" s="32"/>
      <c r="C21" s="75"/>
      <c r="D21" s="8"/>
      <c r="E21" s="8"/>
      <c r="F21" s="19">
        <f t="shared" si="0"/>
        <v>0</v>
      </c>
      <c r="G21" s="8"/>
      <c r="H21" s="171">
        <f t="shared" si="3"/>
        <v>0</v>
      </c>
      <c r="I21" s="243">
        <f>IF(B21="Dp",VLOOKUP(C21,'Güneş Şiddeti'!$C$126:$P$134,4,0),0)</f>
        <v>0</v>
      </c>
      <c r="J21" s="244">
        <f>IF(B21="Dp",VLOOKUP(C21,'Güneş Şiddeti'!$C$126:$P$134,8,0),0)</f>
        <v>0</v>
      </c>
      <c r="K21" s="245">
        <f>IF(B21="Dp",VLOOKUP(C21,'Güneş Şiddeti'!$C$126:$P$134,12,0),0)</f>
        <v>0</v>
      </c>
      <c r="L21" s="246">
        <f>VLOOKUP(B21,'K Değerleri'!$C$3:$G$17,5,0)</f>
        <v>0</v>
      </c>
      <c r="M21" s="25">
        <f t="shared" si="4"/>
        <v>0</v>
      </c>
      <c r="N21" s="26">
        <f t="shared" si="5"/>
        <v>0</v>
      </c>
      <c r="O21" s="27">
        <f t="shared" si="6"/>
        <v>0</v>
      </c>
      <c r="P21" s="36">
        <f>VLOOKUP(B21,'K Değerleri'!$C$3:$E$35,3,0)</f>
        <v>0</v>
      </c>
      <c r="Q21" s="35">
        <f>VLOOKUP(B21,'K Değerleri'!$C$3:$P$17,VLOOKUP(C21,'K Değerleri'!$E$20:$F$28,2,0),0)</f>
        <v>0</v>
      </c>
      <c r="R21" s="315">
        <f t="shared" si="1"/>
        <v>0</v>
      </c>
      <c r="S21" s="316"/>
      <c r="T21" s="29">
        <f t="shared" si="2"/>
        <v>0</v>
      </c>
    </row>
    <row r="22" spans="2:20" s="77" customFormat="1" ht="18" customHeight="1" thickBot="1">
      <c r="B22" s="33"/>
      <c r="C22" s="172"/>
      <c r="D22" s="10"/>
      <c r="E22" s="10"/>
      <c r="F22" s="20">
        <f t="shared" si="0"/>
        <v>0</v>
      </c>
      <c r="G22" s="255"/>
      <c r="H22" s="21">
        <f t="shared" si="3"/>
        <v>0</v>
      </c>
      <c r="I22" s="243">
        <f>IF(B22="Dp",VLOOKUP(C22,'Güneş Şiddeti'!$C$126:$P$134,4,0),0)</f>
        <v>0</v>
      </c>
      <c r="J22" s="244">
        <f>IF(B22="Dp",VLOOKUP(C22,'Güneş Şiddeti'!$C$126:$P$134,8,0),0)</f>
        <v>0</v>
      </c>
      <c r="K22" s="245">
        <f>IF(B22="Dp",VLOOKUP(C22,'Güneş Şiddeti'!$C$126:$P$134,12,0),0)</f>
        <v>0</v>
      </c>
      <c r="L22" s="246">
        <f>VLOOKUP(B22,'K Değerleri'!$C$3:$G$17,5,0)</f>
        <v>0</v>
      </c>
      <c r="M22" s="25">
        <f t="shared" si="4"/>
        <v>0</v>
      </c>
      <c r="N22" s="26">
        <f t="shared" si="5"/>
        <v>0</v>
      </c>
      <c r="O22" s="27">
        <f t="shared" si="6"/>
        <v>0</v>
      </c>
      <c r="P22" s="36">
        <f>VLOOKUP(B22,'K Değerleri'!$C$3:$E$35,3,0)</f>
        <v>0</v>
      </c>
      <c r="Q22" s="35">
        <f>VLOOKUP(B22,'K Değerleri'!$C$3:$P$17,VLOOKUP(C22,'K Değerleri'!$E$20:$F$28,2,0),0)</f>
        <v>0</v>
      </c>
      <c r="R22" s="315">
        <f t="shared" si="1"/>
        <v>0</v>
      </c>
      <c r="S22" s="316"/>
      <c r="T22" s="30">
        <f t="shared" si="2"/>
        <v>0</v>
      </c>
    </row>
    <row r="23" spans="2:20" s="77" customFormat="1" ht="18" customHeight="1" thickBot="1">
      <c r="B23" s="89"/>
      <c r="C23" s="90"/>
      <c r="D23" s="90"/>
      <c r="E23" s="90"/>
      <c r="F23" s="90"/>
      <c r="G23" s="90"/>
      <c r="H23" s="90"/>
      <c r="I23" s="91"/>
      <c r="J23" s="92"/>
      <c r="K23" s="92"/>
      <c r="L23" s="93" t="s">
        <v>14</v>
      </c>
      <c r="M23" s="251">
        <f>SUM(M12:M22)</f>
        <v>0</v>
      </c>
      <c r="N23" s="252">
        <f>SUM(N12:N22)</f>
        <v>0</v>
      </c>
      <c r="O23" s="253">
        <f>SUM(O12:O22)</f>
        <v>0</v>
      </c>
      <c r="P23" s="92"/>
      <c r="Q23" s="92"/>
      <c r="R23" s="92"/>
      <c r="S23" s="93" t="s">
        <v>15</v>
      </c>
      <c r="T23" s="94">
        <f>SUM(T12:T22)</f>
        <v>0</v>
      </c>
    </row>
    <row r="24" spans="2:20" s="77" customFormat="1" ht="18" customHeight="1" thickBot="1">
      <c r="B24" s="86" t="s">
        <v>16</v>
      </c>
      <c r="C24" s="87"/>
      <c r="D24" s="87"/>
      <c r="E24" s="87"/>
      <c r="F24" s="87"/>
      <c r="G24" s="87"/>
      <c r="H24" s="87"/>
      <c r="I24" s="87"/>
      <c r="J24" s="87"/>
      <c r="K24" s="87"/>
      <c r="L24" s="90"/>
      <c r="M24" s="90"/>
      <c r="N24" s="90"/>
      <c r="O24" s="90"/>
      <c r="P24" s="90"/>
      <c r="Q24" s="90"/>
      <c r="R24" s="90"/>
      <c r="S24" s="90"/>
      <c r="T24" s="109"/>
    </row>
    <row r="25" spans="2:25" s="77" customFormat="1" ht="18" customHeight="1">
      <c r="B25" s="282" t="s">
        <v>17</v>
      </c>
      <c r="C25" s="283"/>
      <c r="D25" s="283"/>
      <c r="E25" s="283"/>
      <c r="F25" s="283"/>
      <c r="G25" s="283" t="s">
        <v>21</v>
      </c>
      <c r="H25" s="283"/>
      <c r="I25" s="311"/>
      <c r="J25" s="301" t="s">
        <v>170</v>
      </c>
      <c r="K25" s="302"/>
      <c r="L25" s="260">
        <v>300</v>
      </c>
      <c r="M25" s="95" t="s">
        <v>23</v>
      </c>
      <c r="N25" s="301" t="s">
        <v>174</v>
      </c>
      <c r="O25" s="302"/>
      <c r="P25" s="76">
        <f>VLOOKUP(Y25,İnsan!$A$8:$D$21,3,0)</f>
        <v>70</v>
      </c>
      <c r="Q25" s="312" t="s">
        <v>26</v>
      </c>
      <c r="R25" s="313"/>
      <c r="S25" s="313"/>
      <c r="T25" s="99">
        <f>+L25*P25</f>
        <v>21000</v>
      </c>
      <c r="Y25" s="77">
        <v>4</v>
      </c>
    </row>
    <row r="26" spans="2:20" s="77" customFormat="1" ht="18" customHeight="1">
      <c r="B26" s="274" t="s">
        <v>18</v>
      </c>
      <c r="C26" s="275"/>
      <c r="D26" s="275"/>
      <c r="E26" s="275"/>
      <c r="F26" s="275"/>
      <c r="G26" s="275" t="s">
        <v>22</v>
      </c>
      <c r="H26" s="275"/>
      <c r="I26" s="314"/>
      <c r="J26" s="278" t="s">
        <v>173</v>
      </c>
      <c r="K26" s="279" t="s">
        <v>171</v>
      </c>
      <c r="L26" s="261">
        <f>350*20</f>
        <v>7000</v>
      </c>
      <c r="M26" s="83" t="s">
        <v>24</v>
      </c>
      <c r="N26" s="79" t="s">
        <v>177</v>
      </c>
      <c r="O26" s="82">
        <v>1</v>
      </c>
      <c r="P26" s="78" t="s">
        <v>27</v>
      </c>
      <c r="Q26" s="307" t="s">
        <v>176</v>
      </c>
      <c r="R26" s="279"/>
      <c r="S26" s="249">
        <v>0.25</v>
      </c>
      <c r="T26" s="101">
        <f>+L26*O26*S26*0.86</f>
        <v>1505</v>
      </c>
    </row>
    <row r="27" spans="2:20" s="77" customFormat="1" ht="18" customHeight="1">
      <c r="B27" s="274" t="s">
        <v>19</v>
      </c>
      <c r="C27" s="275"/>
      <c r="D27" s="275"/>
      <c r="E27" s="275"/>
      <c r="F27" s="275"/>
      <c r="G27" s="308" t="s">
        <v>364</v>
      </c>
      <c r="H27" s="308"/>
      <c r="I27" s="309"/>
      <c r="J27" s="278" t="s">
        <v>172</v>
      </c>
      <c r="K27" s="279"/>
      <c r="L27" s="262">
        <v>6000</v>
      </c>
      <c r="M27" s="103" t="s">
        <v>25</v>
      </c>
      <c r="N27" s="79" t="s">
        <v>178</v>
      </c>
      <c r="O27" s="87"/>
      <c r="P27" s="81">
        <v>0.1</v>
      </c>
      <c r="Q27" s="100" t="s">
        <v>179</v>
      </c>
      <c r="R27" s="80"/>
      <c r="S27" s="105">
        <f>+J5-K5</f>
        <v>13</v>
      </c>
      <c r="T27" s="101">
        <f>+L27*P27*S27*0.3</f>
        <v>2340</v>
      </c>
    </row>
    <row r="28" spans="2:20" s="77" customFormat="1" ht="18" customHeight="1" thickBot="1">
      <c r="B28" s="294" t="s">
        <v>20</v>
      </c>
      <c r="C28" s="295"/>
      <c r="D28" s="295"/>
      <c r="E28" s="295"/>
      <c r="F28" s="305"/>
      <c r="G28" s="295" t="s">
        <v>361</v>
      </c>
      <c r="H28" s="295"/>
      <c r="I28" s="306"/>
      <c r="J28" s="296" t="s">
        <v>175</v>
      </c>
      <c r="K28" s="297"/>
      <c r="L28" s="263">
        <v>1000</v>
      </c>
      <c r="M28" s="106" t="s">
        <v>24</v>
      </c>
      <c r="N28" s="79" t="s">
        <v>177</v>
      </c>
      <c r="O28" s="82">
        <v>1</v>
      </c>
      <c r="P28" s="78" t="s">
        <v>27</v>
      </c>
      <c r="Q28" s="307" t="s">
        <v>176</v>
      </c>
      <c r="R28" s="279"/>
      <c r="S28" s="249">
        <v>1</v>
      </c>
      <c r="T28" s="107">
        <f>+L28*O28*S28*0.86</f>
        <v>860</v>
      </c>
    </row>
    <row r="29" spans="2:20" s="77" customFormat="1" ht="18" customHeight="1" thickBot="1">
      <c r="B29" s="89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233"/>
      <c r="O29" s="234"/>
      <c r="P29" s="92"/>
      <c r="Q29" s="92"/>
      <c r="R29" s="92"/>
      <c r="S29" s="93" t="s">
        <v>28</v>
      </c>
      <c r="T29" s="94">
        <f>SUM(T25:T28)</f>
        <v>25705</v>
      </c>
    </row>
    <row r="30" spans="2:20" s="77" customFormat="1" ht="18" customHeight="1" thickBot="1">
      <c r="B30" s="86" t="s">
        <v>29</v>
      </c>
      <c r="C30" s="87"/>
      <c r="D30" s="87"/>
      <c r="E30" s="87"/>
      <c r="F30" s="87"/>
      <c r="G30" s="87"/>
      <c r="H30" s="87"/>
      <c r="I30" s="87"/>
      <c r="J30" s="87"/>
      <c r="K30" s="87"/>
      <c r="L30" s="90"/>
      <c r="M30" s="90"/>
      <c r="N30" s="90"/>
      <c r="O30" s="90"/>
      <c r="P30" s="90"/>
      <c r="Q30" s="90"/>
      <c r="R30" s="90"/>
      <c r="S30" s="90"/>
      <c r="T30" s="109"/>
    </row>
    <row r="31" spans="2:20" s="77" customFormat="1" ht="18" customHeight="1">
      <c r="B31" s="282" t="s">
        <v>30</v>
      </c>
      <c r="C31" s="283"/>
      <c r="D31" s="283"/>
      <c r="E31" s="283"/>
      <c r="F31" s="283"/>
      <c r="G31" s="283" t="s">
        <v>21</v>
      </c>
      <c r="H31" s="283"/>
      <c r="I31" s="311"/>
      <c r="J31" s="301" t="s">
        <v>170</v>
      </c>
      <c r="K31" s="302"/>
      <c r="L31" s="76">
        <f>+L25</f>
        <v>300</v>
      </c>
      <c r="M31" s="95" t="s">
        <v>23</v>
      </c>
      <c r="N31" s="301" t="s">
        <v>174</v>
      </c>
      <c r="O31" s="302"/>
      <c r="P31" s="76">
        <f>VLOOKUP(Y25,İnsan!$A$8:$D$21,4,0)</f>
        <v>60</v>
      </c>
      <c r="Q31" s="312" t="s">
        <v>33</v>
      </c>
      <c r="R31" s="313"/>
      <c r="S31" s="313"/>
      <c r="T31" s="99">
        <f>+L31*P31</f>
        <v>18000</v>
      </c>
    </row>
    <row r="32" spans="2:20" s="77" customFormat="1" ht="18" customHeight="1">
      <c r="B32" s="274" t="s">
        <v>31</v>
      </c>
      <c r="C32" s="275"/>
      <c r="D32" s="275"/>
      <c r="E32" s="275"/>
      <c r="F32" s="275"/>
      <c r="G32" s="308" t="s">
        <v>365</v>
      </c>
      <c r="H32" s="308"/>
      <c r="I32" s="309"/>
      <c r="J32" s="278" t="s">
        <v>172</v>
      </c>
      <c r="K32" s="279"/>
      <c r="L32" s="102">
        <f>+L27</f>
        <v>6000</v>
      </c>
      <c r="M32" s="103" t="s">
        <v>25</v>
      </c>
      <c r="N32" s="79" t="s">
        <v>178</v>
      </c>
      <c r="O32" s="87"/>
      <c r="P32" s="250">
        <f>+P27</f>
        <v>0.1</v>
      </c>
      <c r="Q32" s="310">
        <f>+L8</f>
        <v>4.5</v>
      </c>
      <c r="R32" s="279"/>
      <c r="S32" s="128" t="s">
        <v>368</v>
      </c>
      <c r="T32" s="101">
        <f>+L32*P32*Q32*0.7</f>
        <v>1889.9999999999998</v>
      </c>
    </row>
    <row r="33" spans="2:20" s="77" customFormat="1" ht="18" customHeight="1" thickBot="1">
      <c r="B33" s="294" t="s">
        <v>32</v>
      </c>
      <c r="C33" s="295"/>
      <c r="D33" s="295"/>
      <c r="E33" s="295"/>
      <c r="F33" s="305"/>
      <c r="G33" s="295" t="s">
        <v>361</v>
      </c>
      <c r="H33" s="295"/>
      <c r="I33" s="306"/>
      <c r="J33" s="296" t="s">
        <v>373</v>
      </c>
      <c r="K33" s="297"/>
      <c r="L33" s="10"/>
      <c r="M33" s="106" t="s">
        <v>24</v>
      </c>
      <c r="N33" s="79" t="s">
        <v>177</v>
      </c>
      <c r="O33" s="82">
        <v>1</v>
      </c>
      <c r="P33" s="78" t="s">
        <v>27</v>
      </c>
      <c r="Q33" s="307" t="s">
        <v>176</v>
      </c>
      <c r="R33" s="279"/>
      <c r="S33" s="249">
        <v>1</v>
      </c>
      <c r="T33" s="107">
        <f>+L33*O33*S33*0.86</f>
        <v>0</v>
      </c>
    </row>
    <row r="34" spans="2:20" s="77" customFormat="1" ht="18" customHeight="1" thickBot="1">
      <c r="B34" s="89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233"/>
      <c r="O34" s="234"/>
      <c r="P34" s="234"/>
      <c r="Q34" s="92"/>
      <c r="R34" s="92"/>
      <c r="S34" s="93" t="s">
        <v>34</v>
      </c>
      <c r="T34" s="94">
        <f>SUM(T31:T33)</f>
        <v>19890</v>
      </c>
    </row>
    <row r="35" spans="2:22" s="77" customFormat="1" ht="18" customHeight="1" thickBot="1">
      <c r="B35" s="86" t="s">
        <v>35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8"/>
      <c r="V35" s="77">
        <f>500*0.15</f>
        <v>75</v>
      </c>
    </row>
    <row r="36" spans="2:20" s="77" customFormat="1" ht="18" customHeight="1">
      <c r="B36" s="282" t="s">
        <v>19</v>
      </c>
      <c r="C36" s="283"/>
      <c r="D36" s="283"/>
      <c r="E36" s="283"/>
      <c r="F36" s="283"/>
      <c r="G36" s="97" t="s">
        <v>366</v>
      </c>
      <c r="H36" s="98"/>
      <c r="I36" s="112"/>
      <c r="J36" s="301" t="s">
        <v>172</v>
      </c>
      <c r="K36" s="302"/>
      <c r="L36" s="113">
        <f>+L27</f>
        <v>6000</v>
      </c>
      <c r="M36" s="114" t="s">
        <v>25</v>
      </c>
      <c r="N36" s="303" t="s">
        <v>191</v>
      </c>
      <c r="O36" s="304"/>
      <c r="P36" s="114">
        <f>1-P27</f>
        <v>0.9</v>
      </c>
      <c r="Q36" s="301">
        <f>+L5</f>
        <v>13</v>
      </c>
      <c r="R36" s="302"/>
      <c r="S36" s="129" t="s">
        <v>369</v>
      </c>
      <c r="T36" s="99">
        <f>+L36*Q36*0.3*P36</f>
        <v>21060</v>
      </c>
    </row>
    <row r="37" spans="2:20" s="77" customFormat="1" ht="18" customHeight="1" thickBot="1">
      <c r="B37" s="294" t="s">
        <v>31</v>
      </c>
      <c r="C37" s="295"/>
      <c r="D37" s="295"/>
      <c r="E37" s="295"/>
      <c r="F37" s="295"/>
      <c r="G37" s="85" t="s">
        <v>367</v>
      </c>
      <c r="H37" s="110"/>
      <c r="I37" s="111"/>
      <c r="J37" s="296" t="s">
        <v>172</v>
      </c>
      <c r="K37" s="297"/>
      <c r="L37" s="84">
        <f>+L36</f>
        <v>6000</v>
      </c>
      <c r="M37" s="106" t="s">
        <v>25</v>
      </c>
      <c r="N37" s="298" t="s">
        <v>191</v>
      </c>
      <c r="O37" s="299"/>
      <c r="P37" s="106">
        <f>+P36</f>
        <v>0.9</v>
      </c>
      <c r="Q37" s="300">
        <f>+L8</f>
        <v>4.5</v>
      </c>
      <c r="R37" s="297"/>
      <c r="S37" s="130" t="s">
        <v>368</v>
      </c>
      <c r="T37" s="107">
        <f>+L37*Q37*0.7*P37</f>
        <v>17010</v>
      </c>
    </row>
    <row r="38" spans="2:20" s="77" customFormat="1" ht="18" customHeight="1" thickBot="1">
      <c r="B38" s="108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91"/>
      <c r="O38" s="92"/>
      <c r="P38" s="92"/>
      <c r="Q38" s="92"/>
      <c r="R38" s="92"/>
      <c r="S38" s="115" t="s">
        <v>36</v>
      </c>
      <c r="T38" s="116">
        <f>SUM(T36:T37)</f>
        <v>38070</v>
      </c>
    </row>
    <row r="39" spans="2:20" s="77" customFormat="1" ht="18" customHeight="1">
      <c r="B39" s="108" t="s">
        <v>37</v>
      </c>
      <c r="C39" s="87"/>
      <c r="D39" s="290" t="s">
        <v>39</v>
      </c>
      <c r="E39" s="293" t="s">
        <v>40</v>
      </c>
      <c r="F39" s="293"/>
      <c r="G39" s="293"/>
      <c r="H39" s="293"/>
      <c r="I39" s="117"/>
      <c r="J39" s="87" t="s">
        <v>37</v>
      </c>
      <c r="K39" s="290" t="s">
        <v>39</v>
      </c>
      <c r="L39" s="293">
        <f>MAX(M23:O23)+T23+T29+T36</f>
        <v>46765</v>
      </c>
      <c r="M39" s="293"/>
      <c r="N39" s="293"/>
      <c r="O39" s="293"/>
      <c r="P39" s="293"/>
      <c r="Q39" s="293"/>
      <c r="R39" s="290" t="s">
        <v>39</v>
      </c>
      <c r="S39" s="290" t="s">
        <v>42</v>
      </c>
      <c r="T39" s="291">
        <f>+L39/L40</f>
        <v>0.4465504893769396</v>
      </c>
    </row>
    <row r="40" spans="2:20" s="77" customFormat="1" ht="18" customHeight="1">
      <c r="B40" s="108" t="s">
        <v>38</v>
      </c>
      <c r="C40" s="87"/>
      <c r="D40" s="290"/>
      <c r="E40" s="292" t="s">
        <v>41</v>
      </c>
      <c r="F40" s="292"/>
      <c r="G40" s="292"/>
      <c r="H40" s="292"/>
      <c r="I40" s="117"/>
      <c r="J40" s="87" t="s">
        <v>38</v>
      </c>
      <c r="K40" s="290"/>
      <c r="L40" s="292">
        <f>+L39+T34+T38</f>
        <v>104725</v>
      </c>
      <c r="M40" s="292"/>
      <c r="N40" s="292"/>
      <c r="O40" s="292"/>
      <c r="P40" s="292"/>
      <c r="Q40" s="292"/>
      <c r="R40" s="290"/>
      <c r="S40" s="290"/>
      <c r="T40" s="291"/>
    </row>
    <row r="41" spans="2:20" s="77" customFormat="1" ht="18" customHeight="1" thickBot="1">
      <c r="B41" s="108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8"/>
    </row>
    <row r="42" spans="2:20" s="77" customFormat="1" ht="18" customHeight="1">
      <c r="B42" s="89"/>
      <c r="C42" s="118" t="s">
        <v>193</v>
      </c>
      <c r="D42" s="119"/>
      <c r="E42" s="119"/>
      <c r="F42" s="120"/>
      <c r="G42" s="121">
        <v>0.3333333333333333</v>
      </c>
      <c r="H42" s="122">
        <v>0.5</v>
      </c>
      <c r="I42" s="123">
        <v>0.6666666666666666</v>
      </c>
      <c r="J42" s="90"/>
      <c r="K42" s="235" t="s">
        <v>193</v>
      </c>
      <c r="L42" s="230"/>
      <c r="M42" s="236"/>
      <c r="N42" s="237">
        <v>0.3333333333333333</v>
      </c>
      <c r="O42" s="238">
        <v>0.5</v>
      </c>
      <c r="P42" s="239">
        <v>0.6666666666666666</v>
      </c>
      <c r="Q42" s="90"/>
      <c r="R42" s="90"/>
      <c r="S42" s="90"/>
      <c r="T42" s="109"/>
    </row>
    <row r="43" spans="2:20" s="77" customFormat="1" ht="18" customHeight="1" thickBot="1">
      <c r="B43" s="89"/>
      <c r="C43" s="284" t="s">
        <v>192</v>
      </c>
      <c r="D43" s="285"/>
      <c r="E43" s="285"/>
      <c r="F43" s="286"/>
      <c r="G43" s="124">
        <f>+M23+T23+T29+T34+T38</f>
        <v>83665</v>
      </c>
      <c r="H43" s="125">
        <f>+N23+T23+T29+T34+T38</f>
        <v>83665</v>
      </c>
      <c r="I43" s="126">
        <f>+O23+T23+T29+T34+T38</f>
        <v>83665</v>
      </c>
      <c r="J43" s="90"/>
      <c r="K43" s="287" t="s">
        <v>195</v>
      </c>
      <c r="L43" s="288"/>
      <c r="M43" s="289"/>
      <c r="N43" s="240">
        <f>+G43*4</f>
        <v>334660</v>
      </c>
      <c r="O43" s="241">
        <f>+H43*4</f>
        <v>334660</v>
      </c>
      <c r="P43" s="242">
        <f>+I43*4</f>
        <v>334660</v>
      </c>
      <c r="Q43" s="90"/>
      <c r="R43" s="90"/>
      <c r="S43" s="90"/>
      <c r="T43" s="109"/>
    </row>
    <row r="44" spans="2:20" s="77" customFormat="1" ht="16.5" customHeight="1" thickBot="1">
      <c r="B44" s="173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6"/>
    </row>
    <row r="45" spans="2:20" ht="37.5" customHeight="1">
      <c r="B45" s="267" t="s">
        <v>413</v>
      </c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</row>
    <row r="46" ht="6.75" customHeight="1" thickBot="1"/>
    <row r="47" spans="2:20" s="77" customFormat="1" ht="16.5" customHeight="1">
      <c r="B47" s="282" t="s">
        <v>386</v>
      </c>
      <c r="C47" s="283"/>
      <c r="D47" s="283"/>
      <c r="E47" s="324" t="s">
        <v>414</v>
      </c>
      <c r="F47" s="324"/>
      <c r="G47" s="325"/>
      <c r="H47" s="344" t="s">
        <v>181</v>
      </c>
      <c r="I47" s="158" t="s">
        <v>13</v>
      </c>
      <c r="J47" s="154" t="s">
        <v>390</v>
      </c>
      <c r="K47" s="228" t="s">
        <v>391</v>
      </c>
      <c r="L47" s="154" t="s">
        <v>179</v>
      </c>
      <c r="M47" s="155" t="s">
        <v>188</v>
      </c>
      <c r="N47" s="133" t="s">
        <v>190</v>
      </c>
      <c r="O47" s="162">
        <v>2</v>
      </c>
      <c r="P47" s="163"/>
      <c r="Q47" s="229"/>
      <c r="R47" s="230"/>
      <c r="S47" s="160"/>
      <c r="T47" s="161"/>
    </row>
    <row r="48" spans="2:25" s="77" customFormat="1" ht="16.5" customHeight="1" thickBot="1">
      <c r="B48" s="274" t="s">
        <v>385</v>
      </c>
      <c r="C48" s="275"/>
      <c r="D48" s="275"/>
      <c r="E48" s="276" t="str">
        <f>VLOOKUP($Y$4,'Güneş Şiddeti'!$B$112:$C$123,2,0)</f>
        <v>Temmuz</v>
      </c>
      <c r="F48" s="276"/>
      <c r="G48" s="277"/>
      <c r="H48" s="345"/>
      <c r="I48" s="80" t="s">
        <v>387</v>
      </c>
      <c r="J48" s="81">
        <f>VLOOKUP(E50,'Dış Hava'!$B$6:$S$60,10,0)</f>
        <v>-6</v>
      </c>
      <c r="K48" s="82">
        <v>22</v>
      </c>
      <c r="L48" s="81">
        <f>-J48+K48</f>
        <v>28</v>
      </c>
      <c r="M48" s="83"/>
      <c r="N48" s="79" t="s">
        <v>184</v>
      </c>
      <c r="O48" s="254">
        <f ca="1">TODAY()</f>
        <v>43479</v>
      </c>
      <c r="P48" s="164"/>
      <c r="Q48" s="89"/>
      <c r="R48" s="90"/>
      <c r="S48" s="326"/>
      <c r="T48" s="327"/>
      <c r="Y48" s="77">
        <v>7</v>
      </c>
    </row>
    <row r="49" spans="2:25" s="77" customFormat="1" ht="16.5" customHeight="1">
      <c r="B49" s="274" t="s">
        <v>187</v>
      </c>
      <c r="C49" s="275"/>
      <c r="D49" s="275"/>
      <c r="E49" s="324" t="s">
        <v>415</v>
      </c>
      <c r="F49" s="324"/>
      <c r="G49" s="325"/>
      <c r="H49" s="345"/>
      <c r="I49" s="80" t="s">
        <v>388</v>
      </c>
      <c r="J49" s="81">
        <f>VLOOKUP(E50,'Dış Hava'!$B$6:$S$60,11,0)</f>
        <v>37</v>
      </c>
      <c r="K49" s="82">
        <v>24</v>
      </c>
      <c r="L49" s="81">
        <f>+J49-K49</f>
        <v>13</v>
      </c>
      <c r="M49" s="156"/>
      <c r="N49" s="79" t="s">
        <v>185</v>
      </c>
      <c r="O49" s="268" t="s">
        <v>414</v>
      </c>
      <c r="P49" s="269"/>
      <c r="Q49" s="89"/>
      <c r="R49" s="90"/>
      <c r="S49" s="326"/>
      <c r="T49" s="327"/>
      <c r="Y49" s="77">
        <v>13</v>
      </c>
    </row>
    <row r="50" spans="2:20" s="77" customFormat="1" ht="16.5" customHeight="1">
      <c r="B50" s="274" t="s">
        <v>0</v>
      </c>
      <c r="C50" s="275"/>
      <c r="D50" s="275"/>
      <c r="E50" s="276" t="str">
        <f>VLOOKUP($Y$5,'Dış Hava'!$A$6:$B$60,2,0)</f>
        <v>Bursa</v>
      </c>
      <c r="F50" s="276"/>
      <c r="G50" s="277"/>
      <c r="H50" s="345"/>
      <c r="I50" s="80" t="s">
        <v>389</v>
      </c>
      <c r="J50" s="81">
        <f>VLOOKUP(E50,'Dış Hava'!$B$6:$S$60,13,0)</f>
        <v>25</v>
      </c>
      <c r="K50" s="82">
        <v>18.5</v>
      </c>
      <c r="L50" s="81">
        <f>+J50-K50</f>
        <v>6.5</v>
      </c>
      <c r="M50" s="248"/>
      <c r="N50" s="79" t="s">
        <v>411</v>
      </c>
      <c r="O50" s="268" t="s">
        <v>412</v>
      </c>
      <c r="P50" s="269"/>
      <c r="Q50" s="89"/>
      <c r="R50" s="90"/>
      <c r="S50" s="347"/>
      <c r="T50" s="348"/>
    </row>
    <row r="51" spans="2:20" s="77" customFormat="1" ht="16.5" customHeight="1">
      <c r="B51" s="278" t="s">
        <v>1</v>
      </c>
      <c r="C51" s="279"/>
      <c r="D51" s="280"/>
      <c r="E51" s="281"/>
      <c r="F51" s="78" t="s">
        <v>2</v>
      </c>
      <c r="G51" s="258"/>
      <c r="H51" s="345"/>
      <c r="I51" s="80" t="s">
        <v>393</v>
      </c>
      <c r="J51" s="247">
        <f>VLOOKUP(E50,'Dış Hava'!$B$6:$S$60,15,0)/100</f>
        <v>0.38</v>
      </c>
      <c r="K51" s="153">
        <v>0.5</v>
      </c>
      <c r="L51" s="152" t="s">
        <v>392</v>
      </c>
      <c r="M51" s="83"/>
      <c r="N51" s="79" t="s">
        <v>362</v>
      </c>
      <c r="O51" s="270" t="s">
        <v>410</v>
      </c>
      <c r="P51" s="271"/>
      <c r="Q51" s="333" t="s">
        <v>372</v>
      </c>
      <c r="R51" s="334"/>
      <c r="S51" s="334"/>
      <c r="T51" s="335"/>
    </row>
    <row r="52" spans="2:20" s="77" customFormat="1" ht="16.5" customHeight="1" thickBot="1">
      <c r="B52" s="179" t="s">
        <v>186</v>
      </c>
      <c r="C52" s="84"/>
      <c r="D52" s="328" t="s">
        <v>417</v>
      </c>
      <c r="E52" s="329"/>
      <c r="F52" s="329"/>
      <c r="G52" s="330"/>
      <c r="H52" s="346"/>
      <c r="I52" s="159" t="s">
        <v>189</v>
      </c>
      <c r="J52" s="131">
        <f>VLOOKUP(E50,'Dış Hava'!$B$6:$S$60,16,0)</f>
        <v>15</v>
      </c>
      <c r="K52" s="231">
        <v>10.5</v>
      </c>
      <c r="L52" s="157">
        <f>+J52-K52</f>
        <v>4.5</v>
      </c>
      <c r="M52" s="106"/>
      <c r="N52" s="132" t="s">
        <v>180</v>
      </c>
      <c r="O52" s="272" t="s">
        <v>410</v>
      </c>
      <c r="P52" s="273"/>
      <c r="Q52" s="336"/>
      <c r="R52" s="337"/>
      <c r="S52" s="337"/>
      <c r="T52" s="338"/>
    </row>
    <row r="53" spans="2:20" s="77" customFormat="1" ht="18" customHeight="1" thickBot="1">
      <c r="B53" s="232" t="s">
        <v>3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109"/>
    </row>
    <row r="54" spans="2:20" s="77" customFormat="1" ht="18" customHeight="1" thickBot="1">
      <c r="B54" s="339" t="s">
        <v>183</v>
      </c>
      <c r="C54" s="341" t="s">
        <v>4</v>
      </c>
      <c r="D54" s="341" t="s">
        <v>182</v>
      </c>
      <c r="E54" s="341" t="s">
        <v>5</v>
      </c>
      <c r="F54" s="317" t="s">
        <v>8</v>
      </c>
      <c r="G54" s="317" t="s">
        <v>9</v>
      </c>
      <c r="H54" s="319" t="s">
        <v>10</v>
      </c>
      <c r="I54" s="321" t="s">
        <v>11</v>
      </c>
      <c r="J54" s="322"/>
      <c r="K54" s="322"/>
      <c r="L54" s="322"/>
      <c r="M54" s="322"/>
      <c r="N54" s="322"/>
      <c r="O54" s="323"/>
      <c r="P54" s="321" t="s">
        <v>12</v>
      </c>
      <c r="Q54" s="322"/>
      <c r="R54" s="322"/>
      <c r="S54" s="322"/>
      <c r="T54" s="323"/>
    </row>
    <row r="55" spans="2:20" s="77" customFormat="1" ht="39.75" customHeight="1" thickBot="1">
      <c r="B55" s="340"/>
      <c r="C55" s="342"/>
      <c r="D55" s="343"/>
      <c r="E55" s="342"/>
      <c r="F55" s="318"/>
      <c r="G55" s="318"/>
      <c r="H55" s="320"/>
      <c r="I55" s="13" t="s">
        <v>168</v>
      </c>
      <c r="J55" s="14" t="s">
        <v>162</v>
      </c>
      <c r="K55" s="15" t="s">
        <v>163</v>
      </c>
      <c r="L55" s="16" t="s">
        <v>167</v>
      </c>
      <c r="M55" s="13" t="s">
        <v>164</v>
      </c>
      <c r="N55" s="14" t="s">
        <v>165</v>
      </c>
      <c r="O55" s="15" t="s">
        <v>166</v>
      </c>
      <c r="P55" s="17" t="s">
        <v>7</v>
      </c>
      <c r="Q55" s="127" t="s">
        <v>363</v>
      </c>
      <c r="R55" s="349" t="s">
        <v>48</v>
      </c>
      <c r="S55" s="350"/>
      <c r="T55" s="18" t="s">
        <v>6</v>
      </c>
    </row>
    <row r="56" spans="2:20" s="77" customFormat="1" ht="18" customHeight="1">
      <c r="B56" s="167" t="s">
        <v>396</v>
      </c>
      <c r="C56" s="168" t="s">
        <v>43</v>
      </c>
      <c r="D56" s="96">
        <f>4*1.5</f>
        <v>6</v>
      </c>
      <c r="E56" s="96">
        <v>1</v>
      </c>
      <c r="F56" s="169">
        <f aca="true" t="shared" si="7" ref="F56:F66">+D56*E56</f>
        <v>6</v>
      </c>
      <c r="G56" s="96"/>
      <c r="H56" s="170">
        <f>+F56-G56</f>
        <v>6</v>
      </c>
      <c r="I56" s="243">
        <f>IF(B56="Dp",VLOOKUP(C56,'Güneş Şiddeti'!$C$126:$P$134,4,0),0)</f>
        <v>29.31034482758621</v>
      </c>
      <c r="J56" s="244">
        <f>IF(B56="Dp",VLOOKUP(C56,'Güneş Şiddeti'!$C$126:$P$134,8,0),0)</f>
        <v>37.931034482758626</v>
      </c>
      <c r="K56" s="245">
        <f>IF(B56="Dp",VLOOKUP(C56,'Güneş Şiddeti'!$C$126:$P$134,12,0),0)</f>
        <v>29.31034482758621</v>
      </c>
      <c r="L56" s="246">
        <f>VLOOKUP(B56,'K Değerleri'!$C$3:$G$17,5,0)</f>
        <v>0.8</v>
      </c>
      <c r="M56" s="22">
        <f>+H56*I56*L56</f>
        <v>140.6896551724138</v>
      </c>
      <c r="N56" s="23">
        <f>+H56*J56*L56</f>
        <v>182.0689655172414</v>
      </c>
      <c r="O56" s="24">
        <f>+H56*K56*L56</f>
        <v>140.6896551724138</v>
      </c>
      <c r="P56" s="34">
        <f>VLOOKUP(B56,'K Değerleri'!$C$3:$E$35,3,0)</f>
        <v>2.9</v>
      </c>
      <c r="Q56" s="35">
        <f>VLOOKUP(B56,'K Değerleri'!$C$3:$P$17,VLOOKUP(C56,'K Değerleri'!$E$20:$F$28,2,0),0)</f>
        <v>9</v>
      </c>
      <c r="R56" s="331">
        <f>+P56*Q56</f>
        <v>26.099999999999998</v>
      </c>
      <c r="S56" s="332"/>
      <c r="T56" s="28">
        <f>+R56*H56</f>
        <v>156.6</v>
      </c>
    </row>
    <row r="57" spans="2:20" s="77" customFormat="1" ht="18" customHeight="1">
      <c r="B57" s="32" t="s">
        <v>396</v>
      </c>
      <c r="C57" s="75" t="s">
        <v>45</v>
      </c>
      <c r="D57" s="8">
        <f>1.5*1.5</f>
        <v>2.25</v>
      </c>
      <c r="E57" s="8">
        <v>1</v>
      </c>
      <c r="F57" s="19">
        <f t="shared" si="7"/>
        <v>2.25</v>
      </c>
      <c r="G57" s="9"/>
      <c r="H57" s="171">
        <f>+F57-G57</f>
        <v>2.25</v>
      </c>
      <c r="I57" s="243">
        <f>IF(B57="Dp",VLOOKUP(C57,'Güneş Şiddeti'!$C$126:$P$134,4,0),0)</f>
        <v>31.896551724137932</v>
      </c>
      <c r="J57" s="244">
        <f>IF(B57="Dp",VLOOKUP(C57,'Güneş Şiddeti'!$C$126:$P$134,8,0),0)</f>
        <v>37.931034482758626</v>
      </c>
      <c r="K57" s="245">
        <f>IF(B57="Dp",VLOOKUP(C57,'Güneş Şiddeti'!$C$126:$P$134,12,0),0)</f>
        <v>438.7931034482759</v>
      </c>
      <c r="L57" s="246">
        <f>VLOOKUP(B57,'K Değerleri'!$C$3:$G$17,5,0)</f>
        <v>0.8</v>
      </c>
      <c r="M57" s="25">
        <f>+H57*I57*L57</f>
        <v>57.413793103448285</v>
      </c>
      <c r="N57" s="26">
        <f>+H57*J57*L57</f>
        <v>68.27586206896552</v>
      </c>
      <c r="O57" s="27">
        <f>+H57*K57*L57</f>
        <v>789.8275862068966</v>
      </c>
      <c r="P57" s="36">
        <f>VLOOKUP(B57,'K Değerleri'!$C$3:$E$35,3,0)</f>
        <v>2.9</v>
      </c>
      <c r="Q57" s="35">
        <f>VLOOKUP(B57,'K Değerleri'!$C$3:$P$17,VLOOKUP(C57,'K Değerleri'!$E$20:$F$28,2,0),0)</f>
        <v>9</v>
      </c>
      <c r="R57" s="315">
        <f>+P57*Q57</f>
        <v>26.099999999999998</v>
      </c>
      <c r="S57" s="316"/>
      <c r="T57" s="29">
        <f>+R57*H57</f>
        <v>58.724999999999994</v>
      </c>
    </row>
    <row r="58" spans="2:20" s="77" customFormat="1" ht="18" customHeight="1">
      <c r="B58" s="32" t="s">
        <v>108</v>
      </c>
      <c r="C58" s="75" t="s">
        <v>43</v>
      </c>
      <c r="D58" s="8">
        <f>6*3</f>
        <v>18</v>
      </c>
      <c r="E58" s="8">
        <v>1</v>
      </c>
      <c r="F58" s="19">
        <f t="shared" si="7"/>
        <v>18</v>
      </c>
      <c r="G58" s="9">
        <f>+H56</f>
        <v>6</v>
      </c>
      <c r="H58" s="171">
        <f>+F58-G58</f>
        <v>12</v>
      </c>
      <c r="I58" s="243">
        <f>IF(B58="Dp",VLOOKUP(C58,'Güneş Şiddeti'!$C$126:$P$134,4,0),0)</f>
        <v>0</v>
      </c>
      <c r="J58" s="244">
        <f>IF(B58="Dp",VLOOKUP(C58,'Güneş Şiddeti'!$C$126:$P$134,8,0),0)</f>
        <v>0</v>
      </c>
      <c r="K58" s="245">
        <f>IF(B58="Dp",VLOOKUP(C58,'Güneş Şiddeti'!$C$126:$P$134,12,0),0)</f>
        <v>0</v>
      </c>
      <c r="L58" s="246">
        <f>VLOOKUP(B58,'K Değerleri'!$C$3:$G$17,5,0)</f>
        <v>1</v>
      </c>
      <c r="M58" s="25">
        <f>+H58*I58*L58</f>
        <v>0</v>
      </c>
      <c r="N58" s="26">
        <f>+H58*J58*L58</f>
        <v>0</v>
      </c>
      <c r="O58" s="27">
        <f>+H58*K58*L58</f>
        <v>0</v>
      </c>
      <c r="P58" s="36">
        <f>VLOOKUP(B58,'K Değerleri'!$C$3:$E$35,3,0)</f>
        <v>0.38</v>
      </c>
      <c r="Q58" s="35">
        <f>VLOOKUP(B58,'K Değerleri'!$C$3:$P$17,VLOOKUP(C58,'K Değerleri'!$E$20:$F$28,2,0),0)</f>
        <v>19</v>
      </c>
      <c r="R58" s="315">
        <f aca="true" t="shared" si="8" ref="R58:R66">+P58*Q58</f>
        <v>7.22</v>
      </c>
      <c r="S58" s="316"/>
      <c r="T58" s="29">
        <f aca="true" t="shared" si="9" ref="T58:T66">+R58*H58</f>
        <v>86.64</v>
      </c>
    </row>
    <row r="59" spans="2:20" s="77" customFormat="1" ht="18" customHeight="1">
      <c r="B59" s="32" t="s">
        <v>108</v>
      </c>
      <c r="C59" s="75" t="s">
        <v>45</v>
      </c>
      <c r="D59" s="8">
        <f>3*3</f>
        <v>9</v>
      </c>
      <c r="E59" s="8">
        <v>1</v>
      </c>
      <c r="F59" s="19">
        <f t="shared" si="7"/>
        <v>9</v>
      </c>
      <c r="G59" s="9">
        <f>+H57</f>
        <v>2.25</v>
      </c>
      <c r="H59" s="171">
        <f>+F59-G59</f>
        <v>6.75</v>
      </c>
      <c r="I59" s="243">
        <f>IF(B59="Dp",VLOOKUP(C59,'Güneş Şiddeti'!$C$126:$P$134,4,0),0)</f>
        <v>0</v>
      </c>
      <c r="J59" s="244">
        <f>IF(B59="Dp",VLOOKUP(C59,'Güneş Şiddeti'!$C$126:$P$134,8,0),0)</f>
        <v>0</v>
      </c>
      <c r="K59" s="245">
        <f>IF(B59="Dp",VLOOKUP(C59,'Güneş Şiddeti'!$C$126:$P$134,12,0),0)</f>
        <v>0</v>
      </c>
      <c r="L59" s="246">
        <f>VLOOKUP(B59,'K Değerleri'!$C$3:$G$17,5,0)</f>
        <v>1</v>
      </c>
      <c r="M59" s="25">
        <f>+H59*I59*L59</f>
        <v>0</v>
      </c>
      <c r="N59" s="26">
        <f>+H59*J59*L59</f>
        <v>0</v>
      </c>
      <c r="O59" s="27">
        <f>+H59*K59*L59</f>
        <v>0</v>
      </c>
      <c r="P59" s="36">
        <f>VLOOKUP(B59,'K Değerleri'!$C$3:$E$35,3,0)</f>
        <v>0.38</v>
      </c>
      <c r="Q59" s="35">
        <f>VLOOKUP(B59,'K Değerleri'!$C$3:$P$17,VLOOKUP(C59,'K Değerleri'!$E$20:$F$28,2,0),0)</f>
        <v>27</v>
      </c>
      <c r="R59" s="315">
        <f t="shared" si="8"/>
        <v>10.26</v>
      </c>
      <c r="S59" s="316"/>
      <c r="T59" s="29">
        <f t="shared" si="9"/>
        <v>69.255</v>
      </c>
    </row>
    <row r="60" spans="2:20" s="77" customFormat="1" ht="18" customHeight="1">
      <c r="B60" s="32" t="s">
        <v>132</v>
      </c>
      <c r="C60" s="75" t="s">
        <v>43</v>
      </c>
      <c r="D60" s="8">
        <v>18</v>
      </c>
      <c r="E60" s="8">
        <v>1</v>
      </c>
      <c r="F60" s="19">
        <f t="shared" si="7"/>
        <v>18</v>
      </c>
      <c r="G60" s="9"/>
      <c r="H60" s="171">
        <f aca="true" t="shared" si="10" ref="H60:H66">+F60-G60</f>
        <v>18</v>
      </c>
      <c r="I60" s="243">
        <f>IF(B60="Dp",VLOOKUP(C60,'Güneş Şiddeti'!$C$126:$P$134,4,0),0)</f>
        <v>0</v>
      </c>
      <c r="J60" s="244">
        <f>IF(B60="Dp",VLOOKUP(C60,'Güneş Şiddeti'!$C$126:$P$134,8,0),0)</f>
        <v>0</v>
      </c>
      <c r="K60" s="245">
        <f>IF(B60="Dp",VLOOKUP(C60,'Güneş Şiddeti'!$C$126:$P$134,12,0),0)</f>
        <v>0</v>
      </c>
      <c r="L60" s="246">
        <f>VLOOKUP(B60,'K Değerleri'!$C$3:$G$17,5,0)</f>
        <v>1</v>
      </c>
      <c r="M60" s="25">
        <f>+H60*I60*L60</f>
        <v>0</v>
      </c>
      <c r="N60" s="26">
        <f>+H60*J60*L60</f>
        <v>0</v>
      </c>
      <c r="O60" s="27">
        <f>+H60*K60*L60</f>
        <v>0</v>
      </c>
      <c r="P60" s="36">
        <f>VLOOKUP(B60,'K Değerleri'!$C$3:$E$35,3,0)</f>
        <v>0.37</v>
      </c>
      <c r="Q60" s="35">
        <f>VLOOKUP(B60,'K Değerleri'!$C$3:$P$17,VLOOKUP(C60,'K Değerleri'!$E$20:$F$28,2,0),0)</f>
        <v>20</v>
      </c>
      <c r="R60" s="315">
        <f t="shared" si="8"/>
        <v>7.4</v>
      </c>
      <c r="S60" s="316"/>
      <c r="T60" s="29">
        <f t="shared" si="9"/>
        <v>133.20000000000002</v>
      </c>
    </row>
    <row r="61" spans="2:20" s="77" customFormat="1" ht="18" customHeight="1">
      <c r="B61" s="32"/>
      <c r="C61" s="75"/>
      <c r="D61" s="8"/>
      <c r="E61" s="8"/>
      <c r="F61" s="19">
        <f t="shared" si="7"/>
        <v>0</v>
      </c>
      <c r="G61" s="9"/>
      <c r="H61" s="171">
        <f t="shared" si="10"/>
        <v>0</v>
      </c>
      <c r="I61" s="243">
        <f>IF(B61="Dp",VLOOKUP(C61,'Güneş Şiddeti'!$C$126:$P$134,4,0),0)</f>
        <v>0</v>
      </c>
      <c r="J61" s="244">
        <f>IF(B61="Dp",VLOOKUP(C61,'Güneş Şiddeti'!$C$126:$P$134,8,0),0)</f>
        <v>0</v>
      </c>
      <c r="K61" s="245">
        <f>IF(B61="Dp",VLOOKUP(C61,'Güneş Şiddeti'!$C$126:$P$134,12,0),0)</f>
        <v>0</v>
      </c>
      <c r="L61" s="246">
        <f>VLOOKUP(B61,'K Değerleri'!$C$3:$G$17,5,0)</f>
        <v>0</v>
      </c>
      <c r="M61" s="25">
        <f aca="true" t="shared" si="11" ref="M61:M66">+H61*I61*L61</f>
        <v>0</v>
      </c>
      <c r="N61" s="26">
        <f aca="true" t="shared" si="12" ref="N61:N66">+H61*J61*L61</f>
        <v>0</v>
      </c>
      <c r="O61" s="27">
        <f aca="true" t="shared" si="13" ref="O61:O66">+H61*K61*L61</f>
        <v>0</v>
      </c>
      <c r="P61" s="36">
        <f>VLOOKUP(B61,'K Değerleri'!$C$3:$E$35,3,0)</f>
        <v>0</v>
      </c>
      <c r="Q61" s="35">
        <f>VLOOKUP(B61,'K Değerleri'!$C$3:$P$17,VLOOKUP(C61,'K Değerleri'!$E$20:$F$28,2,0),0)</f>
        <v>0</v>
      </c>
      <c r="R61" s="315">
        <f t="shared" si="8"/>
        <v>0</v>
      </c>
      <c r="S61" s="316"/>
      <c r="T61" s="29">
        <f t="shared" si="9"/>
        <v>0</v>
      </c>
    </row>
    <row r="62" spans="2:20" s="77" customFormat="1" ht="18" customHeight="1">
      <c r="B62" s="32"/>
      <c r="C62" s="75"/>
      <c r="D62" s="8"/>
      <c r="E62" s="8"/>
      <c r="F62" s="19">
        <f t="shared" si="7"/>
        <v>0</v>
      </c>
      <c r="G62" s="9"/>
      <c r="H62" s="171">
        <f t="shared" si="10"/>
        <v>0</v>
      </c>
      <c r="I62" s="243">
        <f>IF(B62="Dp",VLOOKUP(C62,'Güneş Şiddeti'!$C$126:$P$134,4,0),0)</f>
        <v>0</v>
      </c>
      <c r="J62" s="244">
        <f>IF(B62="Dp",VLOOKUP(C62,'Güneş Şiddeti'!$C$126:$P$134,8,0),0)</f>
        <v>0</v>
      </c>
      <c r="K62" s="245">
        <f>IF(B62="Dp",VLOOKUP(C62,'Güneş Şiddeti'!$C$126:$P$134,12,0),0)</f>
        <v>0</v>
      </c>
      <c r="L62" s="246">
        <f>VLOOKUP(B62,'K Değerleri'!$C$3:$G$17,5,0)</f>
        <v>0</v>
      </c>
      <c r="M62" s="25">
        <f t="shared" si="11"/>
        <v>0</v>
      </c>
      <c r="N62" s="26">
        <f t="shared" si="12"/>
        <v>0</v>
      </c>
      <c r="O62" s="27">
        <f t="shared" si="13"/>
        <v>0</v>
      </c>
      <c r="P62" s="36">
        <f>VLOOKUP(B62,'K Değerleri'!$C$3:$E$35,3,0)</f>
        <v>0</v>
      </c>
      <c r="Q62" s="35">
        <f>VLOOKUP(B62,'K Değerleri'!$C$3:$P$17,VLOOKUP(C62,'K Değerleri'!$E$20:$F$28,2,0),0)</f>
        <v>0</v>
      </c>
      <c r="R62" s="315">
        <f t="shared" si="8"/>
        <v>0</v>
      </c>
      <c r="S62" s="316"/>
      <c r="T62" s="29">
        <f t="shared" si="9"/>
        <v>0</v>
      </c>
    </row>
    <row r="63" spans="2:20" s="77" customFormat="1" ht="18" customHeight="1">
      <c r="B63" s="32"/>
      <c r="C63" s="75"/>
      <c r="D63" s="8"/>
      <c r="E63" s="8"/>
      <c r="F63" s="19">
        <f t="shared" si="7"/>
        <v>0</v>
      </c>
      <c r="G63" s="9"/>
      <c r="H63" s="171">
        <f t="shared" si="10"/>
        <v>0</v>
      </c>
      <c r="I63" s="243">
        <f>IF(B63="Dp",VLOOKUP(C63,'Güneş Şiddeti'!$C$126:$P$134,4,0),0)</f>
        <v>0</v>
      </c>
      <c r="J63" s="244">
        <f>IF(B63="Dp",VLOOKUP(C63,'Güneş Şiddeti'!$C$126:$P$134,8,0),0)</f>
        <v>0</v>
      </c>
      <c r="K63" s="245">
        <f>IF(B63="Dp",VLOOKUP(C63,'Güneş Şiddeti'!$C$126:$P$134,12,0),0)</f>
        <v>0</v>
      </c>
      <c r="L63" s="246">
        <f>VLOOKUP(B63,'K Değerleri'!$C$3:$G$17,5,0)</f>
        <v>0</v>
      </c>
      <c r="M63" s="25">
        <f t="shared" si="11"/>
        <v>0</v>
      </c>
      <c r="N63" s="26">
        <f t="shared" si="12"/>
        <v>0</v>
      </c>
      <c r="O63" s="27">
        <f t="shared" si="13"/>
        <v>0</v>
      </c>
      <c r="P63" s="36">
        <f>VLOOKUP(B63,'K Değerleri'!$C$3:$E$35,3,0)</f>
        <v>0</v>
      </c>
      <c r="Q63" s="35">
        <f>VLOOKUP(B63,'K Değerleri'!$C$3:$P$17,VLOOKUP(C63,'K Değerleri'!$E$20:$F$28,2,0),0)</f>
        <v>0</v>
      </c>
      <c r="R63" s="315">
        <f t="shared" si="8"/>
        <v>0</v>
      </c>
      <c r="S63" s="316"/>
      <c r="T63" s="29">
        <f t="shared" si="9"/>
        <v>0</v>
      </c>
    </row>
    <row r="64" spans="2:20" s="77" customFormat="1" ht="18" customHeight="1">
      <c r="B64" s="32"/>
      <c r="C64" s="75"/>
      <c r="D64" s="8"/>
      <c r="E64" s="8"/>
      <c r="F64" s="19">
        <f t="shared" si="7"/>
        <v>0</v>
      </c>
      <c r="G64" s="8"/>
      <c r="H64" s="171">
        <f t="shared" si="10"/>
        <v>0</v>
      </c>
      <c r="I64" s="243">
        <f>IF(B64="Dp",VLOOKUP(C64,'Güneş Şiddeti'!$C$126:$P$134,4,0),0)</f>
        <v>0</v>
      </c>
      <c r="J64" s="244">
        <f>IF(B64="Dp",VLOOKUP(C64,'Güneş Şiddeti'!$C$126:$P$134,8,0),0)</f>
        <v>0</v>
      </c>
      <c r="K64" s="245">
        <f>IF(B64="Dp",VLOOKUP(C64,'Güneş Şiddeti'!$C$126:$P$134,12,0),0)</f>
        <v>0</v>
      </c>
      <c r="L64" s="246">
        <f>VLOOKUP(B64,'K Değerleri'!$C$3:$G$17,5,0)</f>
        <v>0</v>
      </c>
      <c r="M64" s="25">
        <f t="shared" si="11"/>
        <v>0</v>
      </c>
      <c r="N64" s="26">
        <f t="shared" si="12"/>
        <v>0</v>
      </c>
      <c r="O64" s="27">
        <f t="shared" si="13"/>
        <v>0</v>
      </c>
      <c r="P64" s="36">
        <f>VLOOKUP(B64,'K Değerleri'!$C$3:$E$35,3,0)</f>
        <v>0</v>
      </c>
      <c r="Q64" s="35">
        <f>VLOOKUP(B64,'K Değerleri'!$C$3:$P$17,VLOOKUP(C64,'K Değerleri'!$E$20:$F$28,2,0),0)</f>
        <v>0</v>
      </c>
      <c r="R64" s="315">
        <f t="shared" si="8"/>
        <v>0</v>
      </c>
      <c r="S64" s="316"/>
      <c r="T64" s="29">
        <f t="shared" si="9"/>
        <v>0</v>
      </c>
    </row>
    <row r="65" spans="2:20" s="77" customFormat="1" ht="18" customHeight="1">
      <c r="B65" s="32"/>
      <c r="C65" s="75"/>
      <c r="D65" s="8"/>
      <c r="E65" s="8"/>
      <c r="F65" s="19">
        <f t="shared" si="7"/>
        <v>0</v>
      </c>
      <c r="G65" s="8"/>
      <c r="H65" s="171">
        <f t="shared" si="10"/>
        <v>0</v>
      </c>
      <c r="I65" s="243">
        <f>IF(B65="Dp",VLOOKUP(C65,'Güneş Şiddeti'!$C$126:$P$134,4,0),0)</f>
        <v>0</v>
      </c>
      <c r="J65" s="244">
        <f>IF(B65="Dp",VLOOKUP(C65,'Güneş Şiddeti'!$C$126:$P$134,8,0),0)</f>
        <v>0</v>
      </c>
      <c r="K65" s="245">
        <f>IF(B65="Dp",VLOOKUP(C65,'Güneş Şiddeti'!$C$126:$P$134,12,0),0)</f>
        <v>0</v>
      </c>
      <c r="L65" s="246">
        <f>VLOOKUP(B65,'K Değerleri'!$C$3:$G$17,5,0)</f>
        <v>0</v>
      </c>
      <c r="M65" s="25">
        <f t="shared" si="11"/>
        <v>0</v>
      </c>
      <c r="N65" s="26">
        <f t="shared" si="12"/>
        <v>0</v>
      </c>
      <c r="O65" s="27">
        <f t="shared" si="13"/>
        <v>0</v>
      </c>
      <c r="P65" s="36">
        <f>VLOOKUP(B65,'K Değerleri'!$C$3:$E$35,3,0)</f>
        <v>0</v>
      </c>
      <c r="Q65" s="35">
        <f>VLOOKUP(B65,'K Değerleri'!$C$3:$P$17,VLOOKUP(C65,'K Değerleri'!$E$20:$F$28,2,0),0)</f>
        <v>0</v>
      </c>
      <c r="R65" s="315">
        <f t="shared" si="8"/>
        <v>0</v>
      </c>
      <c r="S65" s="316"/>
      <c r="T65" s="29">
        <f t="shared" si="9"/>
        <v>0</v>
      </c>
    </row>
    <row r="66" spans="2:20" s="77" customFormat="1" ht="18" customHeight="1" thickBot="1">
      <c r="B66" s="33"/>
      <c r="C66" s="172"/>
      <c r="D66" s="10"/>
      <c r="E66" s="10"/>
      <c r="F66" s="20">
        <f t="shared" si="7"/>
        <v>0</v>
      </c>
      <c r="G66" s="255"/>
      <c r="H66" s="21">
        <f t="shared" si="10"/>
        <v>0</v>
      </c>
      <c r="I66" s="243">
        <f>IF(B66="Dp",VLOOKUP(C66,'Güneş Şiddeti'!$C$126:$P$134,4,0),0)</f>
        <v>0</v>
      </c>
      <c r="J66" s="244">
        <f>IF(B66="Dp",VLOOKUP(C66,'Güneş Şiddeti'!$C$126:$P$134,8,0),0)</f>
        <v>0</v>
      </c>
      <c r="K66" s="245">
        <f>IF(B66="Dp",VLOOKUP(C66,'Güneş Şiddeti'!$C$126:$P$134,12,0),0)</f>
        <v>0</v>
      </c>
      <c r="L66" s="246">
        <f>VLOOKUP(B66,'K Değerleri'!$C$3:$G$17,5,0)</f>
        <v>0</v>
      </c>
      <c r="M66" s="25">
        <f t="shared" si="11"/>
        <v>0</v>
      </c>
      <c r="N66" s="26">
        <f t="shared" si="12"/>
        <v>0</v>
      </c>
      <c r="O66" s="27">
        <f t="shared" si="13"/>
        <v>0</v>
      </c>
      <c r="P66" s="36">
        <f>VLOOKUP(B66,'K Değerleri'!$C$3:$E$35,3,0)</f>
        <v>0</v>
      </c>
      <c r="Q66" s="35">
        <f>VLOOKUP(B66,'K Değerleri'!$C$3:$P$17,VLOOKUP(C66,'K Değerleri'!$E$20:$F$28,2,0),0)</f>
        <v>0</v>
      </c>
      <c r="R66" s="315">
        <f t="shared" si="8"/>
        <v>0</v>
      </c>
      <c r="S66" s="316"/>
      <c r="T66" s="30">
        <f t="shared" si="9"/>
        <v>0</v>
      </c>
    </row>
    <row r="67" spans="2:20" s="77" customFormat="1" ht="18" customHeight="1" thickBot="1">
      <c r="B67" s="89"/>
      <c r="C67" s="90"/>
      <c r="D67" s="90"/>
      <c r="E67" s="90"/>
      <c r="F67" s="90"/>
      <c r="G67" s="90"/>
      <c r="H67" s="90"/>
      <c r="I67" s="91"/>
      <c r="J67" s="92"/>
      <c r="K67" s="92"/>
      <c r="L67" s="93" t="s">
        <v>14</v>
      </c>
      <c r="M67" s="251">
        <f>SUM(M56:M66)</f>
        <v>198.1034482758621</v>
      </c>
      <c r="N67" s="252">
        <f>SUM(N56:N66)</f>
        <v>250.34482758620692</v>
      </c>
      <c r="O67" s="253">
        <f>SUM(O56:O66)</f>
        <v>930.5172413793105</v>
      </c>
      <c r="P67" s="92"/>
      <c r="Q67" s="92"/>
      <c r="R67" s="92"/>
      <c r="S67" s="93" t="s">
        <v>15</v>
      </c>
      <c r="T67" s="94">
        <f>SUM(T56:T66)</f>
        <v>504.41999999999996</v>
      </c>
    </row>
    <row r="68" spans="2:20" s="77" customFormat="1" ht="18" customHeight="1" thickBot="1">
      <c r="B68" s="86" t="s">
        <v>16</v>
      </c>
      <c r="C68" s="87"/>
      <c r="D68" s="87"/>
      <c r="E68" s="87"/>
      <c r="F68" s="87"/>
      <c r="G68" s="87"/>
      <c r="H68" s="87"/>
      <c r="I68" s="87"/>
      <c r="J68" s="87"/>
      <c r="K68" s="87"/>
      <c r="L68" s="90"/>
      <c r="M68" s="90"/>
      <c r="N68" s="90"/>
      <c r="O68" s="90"/>
      <c r="P68" s="90"/>
      <c r="Q68" s="90"/>
      <c r="R68" s="90"/>
      <c r="S68" s="90"/>
      <c r="T68" s="109"/>
    </row>
    <row r="69" spans="2:25" s="77" customFormat="1" ht="18" customHeight="1">
      <c r="B69" s="282" t="s">
        <v>17</v>
      </c>
      <c r="C69" s="283"/>
      <c r="D69" s="283"/>
      <c r="E69" s="283"/>
      <c r="F69" s="283"/>
      <c r="G69" s="283" t="s">
        <v>21</v>
      </c>
      <c r="H69" s="283"/>
      <c r="I69" s="311"/>
      <c r="J69" s="301" t="s">
        <v>170</v>
      </c>
      <c r="K69" s="302"/>
      <c r="L69" s="96">
        <v>2</v>
      </c>
      <c r="M69" s="95" t="s">
        <v>23</v>
      </c>
      <c r="N69" s="301" t="s">
        <v>174</v>
      </c>
      <c r="O69" s="302"/>
      <c r="P69" s="76">
        <f>VLOOKUP(Y69,İnsan!$A$8:$D$21,3,0)</f>
        <v>70</v>
      </c>
      <c r="Q69" s="312" t="s">
        <v>26</v>
      </c>
      <c r="R69" s="313"/>
      <c r="S69" s="313"/>
      <c r="T69" s="99">
        <f>+L69*P69</f>
        <v>140</v>
      </c>
      <c r="Y69" s="77">
        <v>4</v>
      </c>
    </row>
    <row r="70" spans="2:20" s="77" customFormat="1" ht="18" customHeight="1">
      <c r="B70" s="274" t="s">
        <v>18</v>
      </c>
      <c r="C70" s="275"/>
      <c r="D70" s="275"/>
      <c r="E70" s="275"/>
      <c r="F70" s="275"/>
      <c r="G70" s="275" t="s">
        <v>22</v>
      </c>
      <c r="H70" s="275"/>
      <c r="I70" s="314"/>
      <c r="J70" s="278" t="s">
        <v>173</v>
      </c>
      <c r="K70" s="279" t="s">
        <v>171</v>
      </c>
      <c r="L70" s="8">
        <f>18*50</f>
        <v>900</v>
      </c>
      <c r="M70" s="83" t="s">
        <v>24</v>
      </c>
      <c r="N70" s="79" t="s">
        <v>177</v>
      </c>
      <c r="O70" s="82">
        <v>1</v>
      </c>
      <c r="P70" s="78" t="s">
        <v>27</v>
      </c>
      <c r="Q70" s="307" t="s">
        <v>176</v>
      </c>
      <c r="R70" s="279"/>
      <c r="S70" s="249">
        <v>0.25</v>
      </c>
      <c r="T70" s="101">
        <f>+L70*O70*S70*0.86</f>
        <v>193.5</v>
      </c>
    </row>
    <row r="71" spans="2:20" s="77" customFormat="1" ht="18" customHeight="1">
      <c r="B71" s="274" t="s">
        <v>19</v>
      </c>
      <c r="C71" s="275"/>
      <c r="D71" s="275"/>
      <c r="E71" s="275"/>
      <c r="F71" s="275"/>
      <c r="G71" s="308" t="s">
        <v>364</v>
      </c>
      <c r="H71" s="308"/>
      <c r="I71" s="309"/>
      <c r="J71" s="278" t="s">
        <v>172</v>
      </c>
      <c r="K71" s="279"/>
      <c r="L71" s="104">
        <v>100</v>
      </c>
      <c r="M71" s="103" t="s">
        <v>25</v>
      </c>
      <c r="N71" s="79" t="s">
        <v>178</v>
      </c>
      <c r="O71" s="87"/>
      <c r="P71" s="81">
        <v>0.1</v>
      </c>
      <c r="Q71" s="100" t="s">
        <v>179</v>
      </c>
      <c r="R71" s="80"/>
      <c r="S71" s="105">
        <f>+J49-K49</f>
        <v>13</v>
      </c>
      <c r="T71" s="101">
        <f>+L71*P71*S71*0.3</f>
        <v>39</v>
      </c>
    </row>
    <row r="72" spans="2:20" s="77" customFormat="1" ht="18" customHeight="1" thickBot="1">
      <c r="B72" s="294" t="s">
        <v>20</v>
      </c>
      <c r="C72" s="295"/>
      <c r="D72" s="295"/>
      <c r="E72" s="295"/>
      <c r="F72" s="305"/>
      <c r="G72" s="295" t="s">
        <v>361</v>
      </c>
      <c r="H72" s="295"/>
      <c r="I72" s="306"/>
      <c r="J72" s="296" t="s">
        <v>175</v>
      </c>
      <c r="K72" s="297"/>
      <c r="L72" s="10">
        <v>300</v>
      </c>
      <c r="M72" s="106" t="s">
        <v>24</v>
      </c>
      <c r="N72" s="79" t="s">
        <v>177</v>
      </c>
      <c r="O72" s="82">
        <v>1</v>
      </c>
      <c r="P72" s="78" t="s">
        <v>27</v>
      </c>
      <c r="Q72" s="307" t="s">
        <v>176</v>
      </c>
      <c r="R72" s="279"/>
      <c r="S72" s="249">
        <v>1</v>
      </c>
      <c r="T72" s="107">
        <f>+L72*O72*S72*0.86</f>
        <v>258</v>
      </c>
    </row>
    <row r="73" spans="2:20" s="77" customFormat="1" ht="18" customHeight="1" thickBot="1">
      <c r="B73" s="89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233"/>
      <c r="O73" s="234"/>
      <c r="P73" s="92"/>
      <c r="Q73" s="92"/>
      <c r="R73" s="92"/>
      <c r="S73" s="93" t="s">
        <v>28</v>
      </c>
      <c r="T73" s="94">
        <f>SUM(T69:T72)</f>
        <v>630.5</v>
      </c>
    </row>
    <row r="74" spans="2:20" s="77" customFormat="1" ht="18" customHeight="1" thickBot="1">
      <c r="B74" s="86" t="s">
        <v>29</v>
      </c>
      <c r="C74" s="87"/>
      <c r="D74" s="87"/>
      <c r="E74" s="87"/>
      <c r="F74" s="87"/>
      <c r="G74" s="87"/>
      <c r="H74" s="87"/>
      <c r="I74" s="87"/>
      <c r="J74" s="87"/>
      <c r="K74" s="87"/>
      <c r="L74" s="90"/>
      <c r="M74" s="90"/>
      <c r="N74" s="90"/>
      <c r="O74" s="90"/>
      <c r="P74" s="90"/>
      <c r="Q74" s="90"/>
      <c r="R74" s="90"/>
      <c r="S74" s="90"/>
      <c r="T74" s="109"/>
    </row>
    <row r="75" spans="2:20" s="77" customFormat="1" ht="18" customHeight="1">
      <c r="B75" s="282" t="s">
        <v>30</v>
      </c>
      <c r="C75" s="283"/>
      <c r="D75" s="283"/>
      <c r="E75" s="283"/>
      <c r="F75" s="283"/>
      <c r="G75" s="283" t="s">
        <v>21</v>
      </c>
      <c r="H75" s="283"/>
      <c r="I75" s="311"/>
      <c r="J75" s="301" t="s">
        <v>170</v>
      </c>
      <c r="K75" s="302"/>
      <c r="L75" s="76">
        <f>+L69</f>
        <v>2</v>
      </c>
      <c r="M75" s="95" t="s">
        <v>23</v>
      </c>
      <c r="N75" s="301" t="s">
        <v>174</v>
      </c>
      <c r="O75" s="302"/>
      <c r="P75" s="76">
        <f>VLOOKUP(Y69,İnsan!$A$8:$D$21,4,0)</f>
        <v>60</v>
      </c>
      <c r="Q75" s="312" t="s">
        <v>33</v>
      </c>
      <c r="R75" s="313"/>
      <c r="S75" s="313"/>
      <c r="T75" s="99">
        <f>+L75*P75</f>
        <v>120</v>
      </c>
    </row>
    <row r="76" spans="2:20" s="77" customFormat="1" ht="18" customHeight="1">
      <c r="B76" s="274" t="s">
        <v>31</v>
      </c>
      <c r="C76" s="275"/>
      <c r="D76" s="275"/>
      <c r="E76" s="275"/>
      <c r="F76" s="275"/>
      <c r="G76" s="308" t="s">
        <v>365</v>
      </c>
      <c r="H76" s="308"/>
      <c r="I76" s="309"/>
      <c r="J76" s="278" t="s">
        <v>172</v>
      </c>
      <c r="K76" s="279"/>
      <c r="L76" s="102">
        <f>+L71</f>
        <v>100</v>
      </c>
      <c r="M76" s="103" t="s">
        <v>25</v>
      </c>
      <c r="N76" s="79" t="s">
        <v>178</v>
      </c>
      <c r="O76" s="87"/>
      <c r="P76" s="250">
        <f>+P71</f>
        <v>0.1</v>
      </c>
      <c r="Q76" s="310">
        <f>+L52</f>
        <v>4.5</v>
      </c>
      <c r="R76" s="279"/>
      <c r="S76" s="128" t="s">
        <v>368</v>
      </c>
      <c r="T76" s="101">
        <f>+L76*P76*Q76*0.7</f>
        <v>31.499999999999996</v>
      </c>
    </row>
    <row r="77" spans="2:20" s="77" customFormat="1" ht="18" customHeight="1" thickBot="1">
      <c r="B77" s="294" t="s">
        <v>32</v>
      </c>
      <c r="C77" s="295"/>
      <c r="D77" s="295"/>
      <c r="E77" s="295"/>
      <c r="F77" s="305"/>
      <c r="G77" s="295" t="s">
        <v>361</v>
      </c>
      <c r="H77" s="295"/>
      <c r="I77" s="306"/>
      <c r="J77" s="296" t="s">
        <v>373</v>
      </c>
      <c r="K77" s="297"/>
      <c r="L77" s="10"/>
      <c r="M77" s="106" t="s">
        <v>24</v>
      </c>
      <c r="N77" s="79" t="s">
        <v>177</v>
      </c>
      <c r="O77" s="82">
        <v>1</v>
      </c>
      <c r="P77" s="78" t="s">
        <v>27</v>
      </c>
      <c r="Q77" s="307" t="s">
        <v>176</v>
      </c>
      <c r="R77" s="279"/>
      <c r="S77" s="249">
        <v>1</v>
      </c>
      <c r="T77" s="107">
        <f>+L77*O77*S77*0.86</f>
        <v>0</v>
      </c>
    </row>
    <row r="78" spans="2:20" s="77" customFormat="1" ht="18" customHeight="1" thickBot="1">
      <c r="B78" s="89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233"/>
      <c r="O78" s="234"/>
      <c r="P78" s="234"/>
      <c r="Q78" s="92"/>
      <c r="R78" s="92"/>
      <c r="S78" s="93" t="s">
        <v>34</v>
      </c>
      <c r="T78" s="94">
        <f>SUM(T75:T77)</f>
        <v>151.5</v>
      </c>
    </row>
    <row r="79" spans="2:20" s="77" customFormat="1" ht="18" customHeight="1" thickBot="1">
      <c r="B79" s="86" t="s">
        <v>35</v>
      </c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8"/>
    </row>
    <row r="80" spans="2:20" s="77" customFormat="1" ht="18" customHeight="1">
      <c r="B80" s="282" t="s">
        <v>19</v>
      </c>
      <c r="C80" s="283"/>
      <c r="D80" s="283"/>
      <c r="E80" s="283"/>
      <c r="F80" s="283"/>
      <c r="G80" s="97" t="s">
        <v>366</v>
      </c>
      <c r="H80" s="98"/>
      <c r="I80" s="112"/>
      <c r="J80" s="301" t="s">
        <v>172</v>
      </c>
      <c r="K80" s="302"/>
      <c r="L80" s="113">
        <f>+L71</f>
        <v>100</v>
      </c>
      <c r="M80" s="114" t="s">
        <v>25</v>
      </c>
      <c r="N80" s="303" t="s">
        <v>191</v>
      </c>
      <c r="O80" s="304"/>
      <c r="P80" s="114">
        <f>1-P71</f>
        <v>0.9</v>
      </c>
      <c r="Q80" s="301">
        <f>+L49</f>
        <v>13</v>
      </c>
      <c r="R80" s="302"/>
      <c r="S80" s="129" t="s">
        <v>369</v>
      </c>
      <c r="T80" s="99">
        <f>+L80*Q80*0.3*P80</f>
        <v>351</v>
      </c>
    </row>
    <row r="81" spans="2:20" s="77" customFormat="1" ht="18" customHeight="1" thickBot="1">
      <c r="B81" s="294" t="s">
        <v>31</v>
      </c>
      <c r="C81" s="295"/>
      <c r="D81" s="295"/>
      <c r="E81" s="295"/>
      <c r="F81" s="295"/>
      <c r="G81" s="85" t="s">
        <v>367</v>
      </c>
      <c r="H81" s="110"/>
      <c r="I81" s="111"/>
      <c r="J81" s="296" t="s">
        <v>172</v>
      </c>
      <c r="K81" s="297"/>
      <c r="L81" s="84">
        <f>+L80</f>
        <v>100</v>
      </c>
      <c r="M81" s="106" t="s">
        <v>25</v>
      </c>
      <c r="N81" s="298" t="s">
        <v>191</v>
      </c>
      <c r="O81" s="299"/>
      <c r="P81" s="106">
        <f>+P80</f>
        <v>0.9</v>
      </c>
      <c r="Q81" s="300">
        <f>+L52</f>
        <v>4.5</v>
      </c>
      <c r="R81" s="297"/>
      <c r="S81" s="130" t="s">
        <v>368</v>
      </c>
      <c r="T81" s="107">
        <f>+L81*Q81*0.7*P81</f>
        <v>283.5</v>
      </c>
    </row>
    <row r="82" spans="2:20" s="77" customFormat="1" ht="18" customHeight="1" thickBot="1">
      <c r="B82" s="108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91"/>
      <c r="O82" s="92"/>
      <c r="P82" s="92"/>
      <c r="Q82" s="92"/>
      <c r="R82" s="92"/>
      <c r="S82" s="115" t="s">
        <v>36</v>
      </c>
      <c r="T82" s="116">
        <f>SUM(T80:T81)</f>
        <v>634.5</v>
      </c>
    </row>
    <row r="83" spans="2:20" s="77" customFormat="1" ht="18" customHeight="1">
      <c r="B83" s="108" t="s">
        <v>37</v>
      </c>
      <c r="C83" s="87"/>
      <c r="D83" s="290" t="s">
        <v>39</v>
      </c>
      <c r="E83" s="293" t="s">
        <v>40</v>
      </c>
      <c r="F83" s="293"/>
      <c r="G83" s="293"/>
      <c r="H83" s="293"/>
      <c r="I83" s="117"/>
      <c r="J83" s="87" t="s">
        <v>37</v>
      </c>
      <c r="K83" s="290" t="s">
        <v>39</v>
      </c>
      <c r="L83" s="293">
        <f>MAX(M67:O67)+T67+T73+T80</f>
        <v>2416.4372413793103</v>
      </c>
      <c r="M83" s="293"/>
      <c r="N83" s="293"/>
      <c r="O83" s="293"/>
      <c r="P83" s="293"/>
      <c r="Q83" s="293"/>
      <c r="R83" s="290" t="s">
        <v>39</v>
      </c>
      <c r="S83" s="290" t="s">
        <v>42</v>
      </c>
      <c r="T83" s="291">
        <f>+L83/L84</f>
        <v>0.7545619349400694</v>
      </c>
    </row>
    <row r="84" spans="2:20" s="77" customFormat="1" ht="18" customHeight="1">
      <c r="B84" s="108" t="s">
        <v>38</v>
      </c>
      <c r="C84" s="87"/>
      <c r="D84" s="290"/>
      <c r="E84" s="292" t="s">
        <v>41</v>
      </c>
      <c r="F84" s="292"/>
      <c r="G84" s="292"/>
      <c r="H84" s="292"/>
      <c r="I84" s="117"/>
      <c r="J84" s="87" t="s">
        <v>38</v>
      </c>
      <c r="K84" s="290"/>
      <c r="L84" s="292">
        <f>+L83+T78+T82</f>
        <v>3202.4372413793103</v>
      </c>
      <c r="M84" s="292"/>
      <c r="N84" s="292"/>
      <c r="O84" s="292"/>
      <c r="P84" s="292"/>
      <c r="Q84" s="292"/>
      <c r="R84" s="290"/>
      <c r="S84" s="290"/>
      <c r="T84" s="291"/>
    </row>
    <row r="85" spans="2:20" s="77" customFormat="1" ht="18" customHeight="1" thickBot="1">
      <c r="B85" s="108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8"/>
    </row>
    <row r="86" spans="2:20" s="77" customFormat="1" ht="18" customHeight="1">
      <c r="B86" s="89"/>
      <c r="C86" s="118" t="s">
        <v>193</v>
      </c>
      <c r="D86" s="119"/>
      <c r="E86" s="119"/>
      <c r="F86" s="120"/>
      <c r="G86" s="121">
        <v>0.3333333333333333</v>
      </c>
      <c r="H86" s="122">
        <v>0.5</v>
      </c>
      <c r="I86" s="123">
        <v>0.6666666666666666</v>
      </c>
      <c r="J86" s="90"/>
      <c r="K86" s="235" t="s">
        <v>193</v>
      </c>
      <c r="L86" s="230"/>
      <c r="M86" s="236"/>
      <c r="N86" s="237">
        <v>0.3333333333333333</v>
      </c>
      <c r="O86" s="238">
        <v>0.5</v>
      </c>
      <c r="P86" s="239">
        <v>0.6666666666666666</v>
      </c>
      <c r="Q86" s="90"/>
      <c r="R86" s="90"/>
      <c r="S86" s="90"/>
      <c r="T86" s="109"/>
    </row>
    <row r="87" spans="2:20" s="77" customFormat="1" ht="18" customHeight="1" thickBot="1">
      <c r="B87" s="89"/>
      <c r="C87" s="284" t="s">
        <v>192</v>
      </c>
      <c r="D87" s="285"/>
      <c r="E87" s="285"/>
      <c r="F87" s="286"/>
      <c r="G87" s="124">
        <f>+M67+T67+T73+T78+T82</f>
        <v>2119.023448275862</v>
      </c>
      <c r="H87" s="125">
        <f>+N67+T67+T73+T78+T82</f>
        <v>2171.2648275862066</v>
      </c>
      <c r="I87" s="126">
        <f>+O67+T67+T73+T78+T82</f>
        <v>2851.4372413793103</v>
      </c>
      <c r="J87" s="90"/>
      <c r="K87" s="287" t="s">
        <v>195</v>
      </c>
      <c r="L87" s="288"/>
      <c r="M87" s="289"/>
      <c r="N87" s="240">
        <f>+G87*4</f>
        <v>8476.093793103448</v>
      </c>
      <c r="O87" s="241">
        <f>+H87*4</f>
        <v>8685.059310344826</v>
      </c>
      <c r="P87" s="242">
        <f>+I87*4</f>
        <v>11405.748965517241</v>
      </c>
      <c r="Q87" s="90"/>
      <c r="R87" s="90"/>
      <c r="S87" s="90"/>
      <c r="T87" s="109"/>
    </row>
    <row r="88" spans="2:20" s="77" customFormat="1" ht="16.5" customHeight="1" thickBot="1">
      <c r="B88" s="173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6"/>
    </row>
    <row r="89" spans="2:20" ht="37.5" customHeight="1">
      <c r="B89" s="267" t="s">
        <v>413</v>
      </c>
      <c r="C89" s="267"/>
      <c r="D89" s="267"/>
      <c r="E89" s="267"/>
      <c r="F89" s="267"/>
      <c r="G89" s="267"/>
      <c r="H89" s="267"/>
      <c r="I89" s="267"/>
      <c r="J89" s="267"/>
      <c r="K89" s="267"/>
      <c r="L89" s="267"/>
      <c r="M89" s="267"/>
      <c r="N89" s="267"/>
      <c r="O89" s="267"/>
      <c r="P89" s="267"/>
      <c r="Q89" s="267"/>
      <c r="R89" s="267"/>
      <c r="S89" s="267"/>
      <c r="T89" s="267"/>
    </row>
    <row r="90" ht="6.75" customHeight="1" thickBot="1"/>
    <row r="91" spans="2:20" s="77" customFormat="1" ht="16.5" customHeight="1">
      <c r="B91" s="282" t="s">
        <v>386</v>
      </c>
      <c r="C91" s="283"/>
      <c r="D91" s="283"/>
      <c r="E91" s="324" t="s">
        <v>414</v>
      </c>
      <c r="F91" s="324"/>
      <c r="G91" s="325"/>
      <c r="H91" s="344" t="s">
        <v>181</v>
      </c>
      <c r="I91" s="158" t="s">
        <v>13</v>
      </c>
      <c r="J91" s="154" t="s">
        <v>390</v>
      </c>
      <c r="K91" s="228" t="s">
        <v>391</v>
      </c>
      <c r="L91" s="154" t="s">
        <v>179</v>
      </c>
      <c r="M91" s="155" t="s">
        <v>188</v>
      </c>
      <c r="N91" s="133" t="s">
        <v>190</v>
      </c>
      <c r="O91" s="162">
        <v>2</v>
      </c>
      <c r="P91" s="163"/>
      <c r="Q91" s="229"/>
      <c r="R91" s="230"/>
      <c r="S91" s="160"/>
      <c r="T91" s="161"/>
    </row>
    <row r="92" spans="2:25" s="77" customFormat="1" ht="16.5" customHeight="1" thickBot="1">
      <c r="B92" s="274" t="s">
        <v>385</v>
      </c>
      <c r="C92" s="275"/>
      <c r="D92" s="275"/>
      <c r="E92" s="276" t="str">
        <f>VLOOKUP($Y$4,'Güneş Şiddeti'!$B$112:$C$123,2,0)</f>
        <v>Temmuz</v>
      </c>
      <c r="F92" s="276"/>
      <c r="G92" s="277"/>
      <c r="H92" s="345"/>
      <c r="I92" s="80" t="s">
        <v>387</v>
      </c>
      <c r="J92" s="81">
        <f>VLOOKUP(E94,'Dış Hava'!$B$6:$S$60,10,0)</f>
        <v>-6</v>
      </c>
      <c r="K92" s="82">
        <v>22</v>
      </c>
      <c r="L92" s="81">
        <f>-J92+K92</f>
        <v>28</v>
      </c>
      <c r="M92" s="83"/>
      <c r="N92" s="79" t="s">
        <v>184</v>
      </c>
      <c r="O92" s="254">
        <f ca="1">TODAY()</f>
        <v>43479</v>
      </c>
      <c r="P92" s="164"/>
      <c r="Q92" s="89"/>
      <c r="R92" s="90"/>
      <c r="S92" s="326"/>
      <c r="T92" s="327"/>
      <c r="Y92" s="77">
        <v>7</v>
      </c>
    </row>
    <row r="93" spans="2:25" s="77" customFormat="1" ht="16.5" customHeight="1">
      <c r="B93" s="274" t="s">
        <v>187</v>
      </c>
      <c r="C93" s="275"/>
      <c r="D93" s="275"/>
      <c r="E93" s="324" t="s">
        <v>415</v>
      </c>
      <c r="F93" s="324"/>
      <c r="G93" s="325"/>
      <c r="H93" s="345"/>
      <c r="I93" s="80" t="s">
        <v>388</v>
      </c>
      <c r="J93" s="81">
        <f>VLOOKUP(E94,'Dış Hava'!$B$6:$S$60,11,0)</f>
        <v>37</v>
      </c>
      <c r="K93" s="82">
        <v>24</v>
      </c>
      <c r="L93" s="81">
        <f>+J93-K93</f>
        <v>13</v>
      </c>
      <c r="M93" s="156"/>
      <c r="N93" s="79" t="s">
        <v>185</v>
      </c>
      <c r="O93" s="268" t="s">
        <v>414</v>
      </c>
      <c r="P93" s="269"/>
      <c r="Q93" s="89"/>
      <c r="R93" s="90"/>
      <c r="S93" s="326"/>
      <c r="T93" s="327"/>
      <c r="Y93" s="77">
        <v>13</v>
      </c>
    </row>
    <row r="94" spans="2:20" s="77" customFormat="1" ht="16.5" customHeight="1">
      <c r="B94" s="274" t="s">
        <v>0</v>
      </c>
      <c r="C94" s="275"/>
      <c r="D94" s="275"/>
      <c r="E94" s="276" t="str">
        <f>VLOOKUP($Y$5,'Dış Hava'!$A$6:$B$60,2,0)</f>
        <v>Bursa</v>
      </c>
      <c r="F94" s="276"/>
      <c r="G94" s="277"/>
      <c r="H94" s="345"/>
      <c r="I94" s="80" t="s">
        <v>389</v>
      </c>
      <c r="J94" s="81">
        <f>VLOOKUP(E94,'Dış Hava'!$B$6:$S$60,13,0)</f>
        <v>25</v>
      </c>
      <c r="K94" s="82">
        <v>18.5</v>
      </c>
      <c r="L94" s="81">
        <f>+J94-K94</f>
        <v>6.5</v>
      </c>
      <c r="M94" s="248"/>
      <c r="N94" s="79" t="s">
        <v>411</v>
      </c>
      <c r="O94" s="268" t="s">
        <v>412</v>
      </c>
      <c r="P94" s="269"/>
      <c r="Q94" s="89"/>
      <c r="R94" s="90"/>
      <c r="S94" s="347"/>
      <c r="T94" s="348"/>
    </row>
    <row r="95" spans="2:20" s="77" customFormat="1" ht="16.5" customHeight="1">
      <c r="B95" s="278" t="s">
        <v>1</v>
      </c>
      <c r="C95" s="279"/>
      <c r="D95" s="280"/>
      <c r="E95" s="281"/>
      <c r="F95" s="78" t="s">
        <v>2</v>
      </c>
      <c r="G95" s="258"/>
      <c r="H95" s="345"/>
      <c r="I95" s="80" t="s">
        <v>393</v>
      </c>
      <c r="J95" s="247">
        <f>VLOOKUP(E94,'Dış Hava'!$B$6:$S$60,15,0)/100</f>
        <v>0.38</v>
      </c>
      <c r="K95" s="153">
        <v>0.5</v>
      </c>
      <c r="L95" s="152" t="s">
        <v>392</v>
      </c>
      <c r="M95" s="83"/>
      <c r="N95" s="79" t="s">
        <v>362</v>
      </c>
      <c r="O95" s="270" t="s">
        <v>410</v>
      </c>
      <c r="P95" s="271"/>
      <c r="Q95" s="333" t="s">
        <v>372</v>
      </c>
      <c r="R95" s="334"/>
      <c r="S95" s="334"/>
      <c r="T95" s="335"/>
    </row>
    <row r="96" spans="2:20" s="77" customFormat="1" ht="16.5" customHeight="1" thickBot="1">
      <c r="B96" s="179" t="s">
        <v>186</v>
      </c>
      <c r="C96" s="84"/>
      <c r="D96" s="328" t="s">
        <v>418</v>
      </c>
      <c r="E96" s="329"/>
      <c r="F96" s="329"/>
      <c r="G96" s="330"/>
      <c r="H96" s="346"/>
      <c r="I96" s="159" t="s">
        <v>189</v>
      </c>
      <c r="J96" s="131">
        <f>VLOOKUP(E94,'Dış Hava'!$B$6:$S$60,16,0)</f>
        <v>15</v>
      </c>
      <c r="K96" s="231">
        <v>10.5</v>
      </c>
      <c r="L96" s="157">
        <f>+J96-K96</f>
        <v>4.5</v>
      </c>
      <c r="M96" s="106"/>
      <c r="N96" s="132" t="s">
        <v>180</v>
      </c>
      <c r="O96" s="272" t="s">
        <v>410</v>
      </c>
      <c r="P96" s="273"/>
      <c r="Q96" s="336"/>
      <c r="R96" s="337"/>
      <c r="S96" s="337"/>
      <c r="T96" s="338"/>
    </row>
    <row r="97" spans="2:20" s="77" customFormat="1" ht="18" customHeight="1" thickBot="1">
      <c r="B97" s="232" t="s">
        <v>3</v>
      </c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109"/>
    </row>
    <row r="98" spans="2:20" s="77" customFormat="1" ht="18" customHeight="1" thickBot="1">
      <c r="B98" s="339" t="s">
        <v>183</v>
      </c>
      <c r="C98" s="341" t="s">
        <v>4</v>
      </c>
      <c r="D98" s="341" t="s">
        <v>182</v>
      </c>
      <c r="E98" s="341" t="s">
        <v>5</v>
      </c>
      <c r="F98" s="317" t="s">
        <v>8</v>
      </c>
      <c r="G98" s="317" t="s">
        <v>9</v>
      </c>
      <c r="H98" s="319" t="s">
        <v>10</v>
      </c>
      <c r="I98" s="321" t="s">
        <v>11</v>
      </c>
      <c r="J98" s="322"/>
      <c r="K98" s="322"/>
      <c r="L98" s="322"/>
      <c r="M98" s="322"/>
      <c r="N98" s="322"/>
      <c r="O98" s="323"/>
      <c r="P98" s="321" t="s">
        <v>12</v>
      </c>
      <c r="Q98" s="322"/>
      <c r="R98" s="322"/>
      <c r="S98" s="322"/>
      <c r="T98" s="323"/>
    </row>
    <row r="99" spans="2:20" s="77" customFormat="1" ht="39.75" customHeight="1" thickBot="1">
      <c r="B99" s="340"/>
      <c r="C99" s="342"/>
      <c r="D99" s="343"/>
      <c r="E99" s="342"/>
      <c r="F99" s="318"/>
      <c r="G99" s="318"/>
      <c r="H99" s="320"/>
      <c r="I99" s="13" t="s">
        <v>168</v>
      </c>
      <c r="J99" s="14" t="s">
        <v>162</v>
      </c>
      <c r="K99" s="15" t="s">
        <v>163</v>
      </c>
      <c r="L99" s="16" t="s">
        <v>167</v>
      </c>
      <c r="M99" s="13" t="s">
        <v>164</v>
      </c>
      <c r="N99" s="14" t="s">
        <v>165</v>
      </c>
      <c r="O99" s="15" t="s">
        <v>166</v>
      </c>
      <c r="P99" s="17" t="s">
        <v>7</v>
      </c>
      <c r="Q99" s="127" t="s">
        <v>363</v>
      </c>
      <c r="R99" s="349" t="s">
        <v>48</v>
      </c>
      <c r="S99" s="350"/>
      <c r="T99" s="18" t="s">
        <v>6</v>
      </c>
    </row>
    <row r="100" spans="2:20" s="77" customFormat="1" ht="18" customHeight="1">
      <c r="B100" s="167" t="s">
        <v>396</v>
      </c>
      <c r="C100" s="168" t="s">
        <v>46</v>
      </c>
      <c r="D100" s="96">
        <f>1.2*1.6</f>
        <v>1.92</v>
      </c>
      <c r="E100" s="96">
        <v>2</v>
      </c>
      <c r="F100" s="169">
        <f aca="true" t="shared" si="14" ref="F100:F110">+D100*E100</f>
        <v>3.84</v>
      </c>
      <c r="G100" s="96"/>
      <c r="H100" s="170">
        <f>+F100-G100</f>
        <v>3.84</v>
      </c>
      <c r="I100" s="243">
        <f>IF(B100="Dp",VLOOKUP(C100,'Güneş Şiddeti'!$C$126:$P$134,4,0),0)</f>
        <v>64.65517241379311</v>
      </c>
      <c r="J100" s="244">
        <f>IF(B100="Dp",VLOOKUP(C100,'Güneş Şiddeti'!$C$126:$P$134,8,0),0)</f>
        <v>275.86206896551727</v>
      </c>
      <c r="K100" s="245">
        <f>IF(B100="Dp",VLOOKUP(C100,'Güneş Şiddeti'!$C$126:$P$134,12,0),0)</f>
        <v>64.65517241379311</v>
      </c>
      <c r="L100" s="246">
        <f>VLOOKUP(B100,'K Değerleri'!$C$3:$G$17,5,0)</f>
        <v>0.8</v>
      </c>
      <c r="M100" s="22">
        <f>+H100*I100*L100</f>
        <v>198.62068965517244</v>
      </c>
      <c r="N100" s="23">
        <f>+H100*J100*L100</f>
        <v>847.4482758620691</v>
      </c>
      <c r="O100" s="24">
        <f>+H100*K100*L100</f>
        <v>198.62068965517244</v>
      </c>
      <c r="P100" s="34">
        <f>VLOOKUP(B100,'K Değerleri'!$C$3:$E$35,3,0)</f>
        <v>2.9</v>
      </c>
      <c r="Q100" s="35">
        <f>VLOOKUP(B100,'K Değerleri'!$C$3:$P$17,VLOOKUP(C100,'K Değerleri'!$E$20:$F$28,2,0),0)</f>
        <v>9</v>
      </c>
      <c r="R100" s="331">
        <f>+P100*Q100</f>
        <v>26.099999999999998</v>
      </c>
      <c r="S100" s="332"/>
      <c r="T100" s="28">
        <f>+R100*H100</f>
        <v>100.22399999999999</v>
      </c>
    </row>
    <row r="101" spans="2:20" s="77" customFormat="1" ht="18" customHeight="1">
      <c r="B101" s="32" t="s">
        <v>396</v>
      </c>
      <c r="C101" s="75" t="s">
        <v>52</v>
      </c>
      <c r="D101" s="8">
        <f>1*2.2</f>
        <v>2.2</v>
      </c>
      <c r="E101" s="8">
        <v>1</v>
      </c>
      <c r="F101" s="19">
        <f t="shared" si="14"/>
        <v>2.2</v>
      </c>
      <c r="G101" s="9"/>
      <c r="H101" s="171">
        <f>+F101-G101</f>
        <v>2.2</v>
      </c>
      <c r="I101" s="243">
        <f>IF(B101="Dp",VLOOKUP(C101,'Güneş Şiddeti'!$C$126:$P$134,4,0),0)</f>
        <v>374.1379310344828</v>
      </c>
      <c r="J101" s="244">
        <f>IF(B101="Dp",VLOOKUP(C101,'Güneş Şiddeti'!$C$126:$P$134,8,0),0)</f>
        <v>179.31034482758622</v>
      </c>
      <c r="K101" s="245">
        <f>IF(B101="Dp",VLOOKUP(C101,'Güneş Şiddeti'!$C$126:$P$134,12,0),0)</f>
        <v>31.896551724137932</v>
      </c>
      <c r="L101" s="246">
        <f>VLOOKUP(B101,'K Değerleri'!$C$3:$G$17,5,0)</f>
        <v>0.8</v>
      </c>
      <c r="M101" s="25">
        <f>+H101*I101*L101</f>
        <v>658.4827586206898</v>
      </c>
      <c r="N101" s="26">
        <f>+H101*J101*L101</f>
        <v>315.5862068965518</v>
      </c>
      <c r="O101" s="27">
        <f>+H101*K101*L101</f>
        <v>56.13793103448277</v>
      </c>
      <c r="P101" s="36">
        <f>VLOOKUP(B101,'K Değerleri'!$C$3:$E$35,3,0)</f>
        <v>2.9</v>
      </c>
      <c r="Q101" s="35">
        <f>VLOOKUP(B101,'K Değerleri'!$C$3:$P$17,VLOOKUP(C101,'K Değerleri'!$E$20:$F$28,2,0),0)</f>
        <v>9</v>
      </c>
      <c r="R101" s="315">
        <f>+P101*Q101</f>
        <v>26.099999999999998</v>
      </c>
      <c r="S101" s="316"/>
      <c r="T101" s="29">
        <f>+R101*H101</f>
        <v>57.42</v>
      </c>
    </row>
    <row r="102" spans="2:20" s="77" customFormat="1" ht="18" customHeight="1">
      <c r="B102" s="32" t="s">
        <v>108</v>
      </c>
      <c r="C102" s="75" t="s">
        <v>46</v>
      </c>
      <c r="D102" s="8">
        <f>3.5*3</f>
        <v>10.5</v>
      </c>
      <c r="E102" s="8">
        <v>1</v>
      </c>
      <c r="F102" s="19">
        <f t="shared" si="14"/>
        <v>10.5</v>
      </c>
      <c r="G102" s="9">
        <f>+H100</f>
        <v>3.84</v>
      </c>
      <c r="H102" s="171">
        <f>+F102-G102</f>
        <v>6.66</v>
      </c>
      <c r="I102" s="243">
        <f>IF(B102="Dp",VLOOKUP(C102,'Güneş Şiddeti'!$C$126:$P$134,4,0),0)</f>
        <v>0</v>
      </c>
      <c r="J102" s="244">
        <f>IF(B102="Dp",VLOOKUP(C102,'Güneş Şiddeti'!$C$126:$P$134,8,0),0)</f>
        <v>0</v>
      </c>
      <c r="K102" s="245">
        <f>IF(B102="Dp",VLOOKUP(C102,'Güneş Şiddeti'!$C$126:$P$134,12,0),0)</f>
        <v>0</v>
      </c>
      <c r="L102" s="246">
        <f>VLOOKUP(B102,'K Değerleri'!$C$3:$G$17,5,0)</f>
        <v>1</v>
      </c>
      <c r="M102" s="25">
        <f>+H102*I102*L102</f>
        <v>0</v>
      </c>
      <c r="N102" s="26">
        <f>+H102*J102*L102</f>
        <v>0</v>
      </c>
      <c r="O102" s="27">
        <f>+H102*K102*L102</f>
        <v>0</v>
      </c>
      <c r="P102" s="36">
        <f>VLOOKUP(B102,'K Değerleri'!$C$3:$E$35,3,0)</f>
        <v>0.38</v>
      </c>
      <c r="Q102" s="35">
        <f>VLOOKUP(B102,'K Değerleri'!$C$3:$P$17,VLOOKUP(C102,'K Değerleri'!$E$20:$F$28,2,0),0)</f>
        <v>17</v>
      </c>
      <c r="R102" s="315">
        <f aca="true" t="shared" si="15" ref="R102:R110">+P102*Q102</f>
        <v>6.46</v>
      </c>
      <c r="S102" s="316"/>
      <c r="T102" s="29">
        <f aca="true" t="shared" si="16" ref="T102:T110">+R102*H102</f>
        <v>43.0236</v>
      </c>
    </row>
    <row r="103" spans="2:20" s="77" customFormat="1" ht="18" customHeight="1">
      <c r="B103" s="32" t="s">
        <v>108</v>
      </c>
      <c r="C103" s="75" t="s">
        <v>52</v>
      </c>
      <c r="D103" s="8">
        <v>9</v>
      </c>
      <c r="E103" s="8">
        <v>1</v>
      </c>
      <c r="F103" s="19">
        <f t="shared" si="14"/>
        <v>9</v>
      </c>
      <c r="G103" s="9">
        <f>+H101</f>
        <v>2.2</v>
      </c>
      <c r="H103" s="171">
        <f>+F103-G103</f>
        <v>6.8</v>
      </c>
      <c r="I103" s="243">
        <f>IF(B103="Dp",VLOOKUP(C103,'Güneş Şiddeti'!$C$126:$P$134,4,0),0)</f>
        <v>0</v>
      </c>
      <c r="J103" s="244">
        <f>IF(B103="Dp",VLOOKUP(C103,'Güneş Şiddeti'!$C$126:$P$134,8,0),0)</f>
        <v>0</v>
      </c>
      <c r="K103" s="245">
        <f>IF(B103="Dp",VLOOKUP(C103,'Güneş Şiddeti'!$C$126:$P$134,12,0),0)</f>
        <v>0</v>
      </c>
      <c r="L103" s="246">
        <f>VLOOKUP(B103,'K Değerleri'!$C$3:$G$17,5,0)</f>
        <v>1</v>
      </c>
      <c r="M103" s="25">
        <f>+H103*I103*L103</f>
        <v>0</v>
      </c>
      <c r="N103" s="26">
        <f>+H103*J103*L103</f>
        <v>0</v>
      </c>
      <c r="O103" s="27">
        <f>+H103*K103*L103</f>
        <v>0</v>
      </c>
      <c r="P103" s="36">
        <f>VLOOKUP(B103,'K Değerleri'!$C$3:$E$35,3,0)</f>
        <v>0.38</v>
      </c>
      <c r="Q103" s="35">
        <f>VLOOKUP(B103,'K Değerleri'!$C$3:$P$17,VLOOKUP(C103,'K Değerleri'!$E$20:$F$28,2,0),0)</f>
        <v>21</v>
      </c>
      <c r="R103" s="315">
        <f t="shared" si="15"/>
        <v>7.98</v>
      </c>
      <c r="S103" s="316"/>
      <c r="T103" s="29">
        <f t="shared" si="16"/>
        <v>54.264</v>
      </c>
    </row>
    <row r="104" spans="2:20" s="77" customFormat="1" ht="18" customHeight="1">
      <c r="B104" s="32" t="s">
        <v>132</v>
      </c>
      <c r="C104" s="75" t="s">
        <v>43</v>
      </c>
      <c r="D104" s="8">
        <v>15</v>
      </c>
      <c r="E104" s="8">
        <v>1</v>
      </c>
      <c r="F104" s="19">
        <f t="shared" si="14"/>
        <v>15</v>
      </c>
      <c r="G104" s="9"/>
      <c r="H104" s="171">
        <f aca="true" t="shared" si="17" ref="H104:H110">+F104-G104</f>
        <v>15</v>
      </c>
      <c r="I104" s="243">
        <f>IF(B104="Dp",VLOOKUP(C104,'Güneş Şiddeti'!$C$126:$P$134,4,0),0)</f>
        <v>0</v>
      </c>
      <c r="J104" s="244">
        <f>IF(B104="Dp",VLOOKUP(C104,'Güneş Şiddeti'!$C$126:$P$134,8,0),0)</f>
        <v>0</v>
      </c>
      <c r="K104" s="245">
        <f>IF(B104="Dp",VLOOKUP(C104,'Güneş Şiddeti'!$C$126:$P$134,12,0),0)</f>
        <v>0</v>
      </c>
      <c r="L104" s="246">
        <f>VLOOKUP(B104,'K Değerleri'!$C$3:$G$17,5,0)</f>
        <v>1</v>
      </c>
      <c r="M104" s="25">
        <f>+H104*I104*L104</f>
        <v>0</v>
      </c>
      <c r="N104" s="26">
        <f>+H104*J104*L104</f>
        <v>0</v>
      </c>
      <c r="O104" s="27">
        <f>+H104*K104*L104</f>
        <v>0</v>
      </c>
      <c r="P104" s="36">
        <f>VLOOKUP(B104,'K Değerleri'!$C$3:$E$35,3,0)</f>
        <v>0.37</v>
      </c>
      <c r="Q104" s="35">
        <f>VLOOKUP(B104,'K Değerleri'!$C$3:$P$17,VLOOKUP(C104,'K Değerleri'!$E$20:$F$28,2,0),0)</f>
        <v>20</v>
      </c>
      <c r="R104" s="315">
        <f t="shared" si="15"/>
        <v>7.4</v>
      </c>
      <c r="S104" s="316"/>
      <c r="T104" s="29">
        <f t="shared" si="16"/>
        <v>111</v>
      </c>
    </row>
    <row r="105" spans="2:20" s="77" customFormat="1" ht="18" customHeight="1">
      <c r="B105" s="32"/>
      <c r="C105" s="75"/>
      <c r="D105" s="8"/>
      <c r="E105" s="8"/>
      <c r="F105" s="19">
        <f t="shared" si="14"/>
        <v>0</v>
      </c>
      <c r="G105" s="9"/>
      <c r="H105" s="171">
        <f t="shared" si="17"/>
        <v>0</v>
      </c>
      <c r="I105" s="243">
        <f>IF(B105="Dp",VLOOKUP(C105,'Güneş Şiddeti'!$C$126:$P$134,4,0),0)</f>
        <v>0</v>
      </c>
      <c r="J105" s="244">
        <f>IF(B105="Dp",VLOOKUP(C105,'Güneş Şiddeti'!$C$126:$P$134,8,0),0)</f>
        <v>0</v>
      </c>
      <c r="K105" s="245">
        <f>IF(B105="Dp",VLOOKUP(C105,'Güneş Şiddeti'!$C$126:$P$134,12,0),0)</f>
        <v>0</v>
      </c>
      <c r="L105" s="246">
        <f>VLOOKUP(B105,'K Değerleri'!$C$3:$G$17,5,0)</f>
        <v>0</v>
      </c>
      <c r="M105" s="25">
        <f aca="true" t="shared" si="18" ref="M105:M110">+H105*I105*L105</f>
        <v>0</v>
      </c>
      <c r="N105" s="26">
        <f aca="true" t="shared" si="19" ref="N105:N110">+H105*J105*L105</f>
        <v>0</v>
      </c>
      <c r="O105" s="27">
        <f aca="true" t="shared" si="20" ref="O105:O110">+H105*K105*L105</f>
        <v>0</v>
      </c>
      <c r="P105" s="36">
        <f>VLOOKUP(B105,'K Değerleri'!$C$3:$E$35,3,0)</f>
        <v>0</v>
      </c>
      <c r="Q105" s="35">
        <f>VLOOKUP(B105,'K Değerleri'!$C$3:$P$17,VLOOKUP(C105,'K Değerleri'!$E$20:$F$28,2,0),0)</f>
        <v>0</v>
      </c>
      <c r="R105" s="315">
        <f t="shared" si="15"/>
        <v>0</v>
      </c>
      <c r="S105" s="316"/>
      <c r="T105" s="29">
        <f t="shared" si="16"/>
        <v>0</v>
      </c>
    </row>
    <row r="106" spans="2:20" s="77" customFormat="1" ht="18" customHeight="1">
      <c r="B106" s="32"/>
      <c r="C106" s="75"/>
      <c r="D106" s="8"/>
      <c r="E106" s="8"/>
      <c r="F106" s="19">
        <f t="shared" si="14"/>
        <v>0</v>
      </c>
      <c r="G106" s="9"/>
      <c r="H106" s="171">
        <f t="shared" si="17"/>
        <v>0</v>
      </c>
      <c r="I106" s="243">
        <f>IF(B106="Dp",VLOOKUP(C106,'Güneş Şiddeti'!$C$126:$P$134,4,0),0)</f>
        <v>0</v>
      </c>
      <c r="J106" s="244">
        <f>IF(B106="Dp",VLOOKUP(C106,'Güneş Şiddeti'!$C$126:$P$134,8,0),0)</f>
        <v>0</v>
      </c>
      <c r="K106" s="245">
        <f>IF(B106="Dp",VLOOKUP(C106,'Güneş Şiddeti'!$C$126:$P$134,12,0),0)</f>
        <v>0</v>
      </c>
      <c r="L106" s="246">
        <f>VLOOKUP(B106,'K Değerleri'!$C$3:$G$17,5,0)</f>
        <v>0</v>
      </c>
      <c r="M106" s="25">
        <f t="shared" si="18"/>
        <v>0</v>
      </c>
      <c r="N106" s="26">
        <f t="shared" si="19"/>
        <v>0</v>
      </c>
      <c r="O106" s="27">
        <f t="shared" si="20"/>
        <v>0</v>
      </c>
      <c r="P106" s="36">
        <f>VLOOKUP(B106,'K Değerleri'!$C$3:$E$35,3,0)</f>
        <v>0</v>
      </c>
      <c r="Q106" s="35">
        <f>VLOOKUP(B106,'K Değerleri'!$C$3:$P$17,VLOOKUP(C106,'K Değerleri'!$E$20:$F$28,2,0),0)</f>
        <v>0</v>
      </c>
      <c r="R106" s="315">
        <f t="shared" si="15"/>
        <v>0</v>
      </c>
      <c r="S106" s="316"/>
      <c r="T106" s="29">
        <f t="shared" si="16"/>
        <v>0</v>
      </c>
    </row>
    <row r="107" spans="2:20" s="77" customFormat="1" ht="18" customHeight="1">
      <c r="B107" s="32"/>
      <c r="C107" s="75"/>
      <c r="D107" s="8"/>
      <c r="E107" s="8"/>
      <c r="F107" s="19">
        <f t="shared" si="14"/>
        <v>0</v>
      </c>
      <c r="G107" s="9"/>
      <c r="H107" s="171">
        <f t="shared" si="17"/>
        <v>0</v>
      </c>
      <c r="I107" s="243">
        <f>IF(B107="Dp",VLOOKUP(C107,'Güneş Şiddeti'!$C$126:$P$134,4,0),0)</f>
        <v>0</v>
      </c>
      <c r="J107" s="244">
        <f>IF(B107="Dp",VLOOKUP(C107,'Güneş Şiddeti'!$C$126:$P$134,8,0),0)</f>
        <v>0</v>
      </c>
      <c r="K107" s="245">
        <f>IF(B107="Dp",VLOOKUP(C107,'Güneş Şiddeti'!$C$126:$P$134,12,0),0)</f>
        <v>0</v>
      </c>
      <c r="L107" s="246">
        <f>VLOOKUP(B107,'K Değerleri'!$C$3:$G$17,5,0)</f>
        <v>0</v>
      </c>
      <c r="M107" s="25">
        <f t="shared" si="18"/>
        <v>0</v>
      </c>
      <c r="N107" s="26">
        <f t="shared" si="19"/>
        <v>0</v>
      </c>
      <c r="O107" s="27">
        <f t="shared" si="20"/>
        <v>0</v>
      </c>
      <c r="P107" s="36">
        <f>VLOOKUP(B107,'K Değerleri'!$C$3:$E$35,3,0)</f>
        <v>0</v>
      </c>
      <c r="Q107" s="35">
        <f>VLOOKUP(B107,'K Değerleri'!$C$3:$P$17,VLOOKUP(C107,'K Değerleri'!$E$20:$F$28,2,0),0)</f>
        <v>0</v>
      </c>
      <c r="R107" s="315">
        <f t="shared" si="15"/>
        <v>0</v>
      </c>
      <c r="S107" s="316"/>
      <c r="T107" s="29">
        <f t="shared" si="16"/>
        <v>0</v>
      </c>
    </row>
    <row r="108" spans="2:20" s="77" customFormat="1" ht="18" customHeight="1">
      <c r="B108" s="32"/>
      <c r="C108" s="75"/>
      <c r="D108" s="8"/>
      <c r="E108" s="8"/>
      <c r="F108" s="19">
        <f t="shared" si="14"/>
        <v>0</v>
      </c>
      <c r="G108" s="8"/>
      <c r="H108" s="171">
        <f t="shared" si="17"/>
        <v>0</v>
      </c>
      <c r="I108" s="243">
        <f>IF(B108="Dp",VLOOKUP(C108,'Güneş Şiddeti'!$C$126:$P$134,4,0),0)</f>
        <v>0</v>
      </c>
      <c r="J108" s="244">
        <f>IF(B108="Dp",VLOOKUP(C108,'Güneş Şiddeti'!$C$126:$P$134,8,0),0)</f>
        <v>0</v>
      </c>
      <c r="K108" s="245">
        <f>IF(B108="Dp",VLOOKUP(C108,'Güneş Şiddeti'!$C$126:$P$134,12,0),0)</f>
        <v>0</v>
      </c>
      <c r="L108" s="246">
        <f>VLOOKUP(B108,'K Değerleri'!$C$3:$G$17,5,0)</f>
        <v>0</v>
      </c>
      <c r="M108" s="25">
        <f t="shared" si="18"/>
        <v>0</v>
      </c>
      <c r="N108" s="26">
        <f t="shared" si="19"/>
        <v>0</v>
      </c>
      <c r="O108" s="27">
        <f t="shared" si="20"/>
        <v>0</v>
      </c>
      <c r="P108" s="36">
        <f>VLOOKUP(B108,'K Değerleri'!$C$3:$E$35,3,0)</f>
        <v>0</v>
      </c>
      <c r="Q108" s="35">
        <f>VLOOKUP(B108,'K Değerleri'!$C$3:$P$17,VLOOKUP(C108,'K Değerleri'!$E$20:$F$28,2,0),0)</f>
        <v>0</v>
      </c>
      <c r="R108" s="315">
        <f t="shared" si="15"/>
        <v>0</v>
      </c>
      <c r="S108" s="316"/>
      <c r="T108" s="29">
        <f t="shared" si="16"/>
        <v>0</v>
      </c>
    </row>
    <row r="109" spans="2:20" s="77" customFormat="1" ht="18" customHeight="1">
      <c r="B109" s="32"/>
      <c r="C109" s="75"/>
      <c r="D109" s="8"/>
      <c r="E109" s="8"/>
      <c r="F109" s="19">
        <f t="shared" si="14"/>
        <v>0</v>
      </c>
      <c r="G109" s="8"/>
      <c r="H109" s="171">
        <f t="shared" si="17"/>
        <v>0</v>
      </c>
      <c r="I109" s="243">
        <f>IF(B109="Dp",VLOOKUP(C109,'Güneş Şiddeti'!$C$126:$P$134,4,0),0)</f>
        <v>0</v>
      </c>
      <c r="J109" s="244">
        <f>IF(B109="Dp",VLOOKUP(C109,'Güneş Şiddeti'!$C$126:$P$134,8,0),0)</f>
        <v>0</v>
      </c>
      <c r="K109" s="245">
        <f>IF(B109="Dp",VLOOKUP(C109,'Güneş Şiddeti'!$C$126:$P$134,12,0),0)</f>
        <v>0</v>
      </c>
      <c r="L109" s="246">
        <f>VLOOKUP(B109,'K Değerleri'!$C$3:$G$17,5,0)</f>
        <v>0</v>
      </c>
      <c r="M109" s="25">
        <f t="shared" si="18"/>
        <v>0</v>
      </c>
      <c r="N109" s="26">
        <f t="shared" si="19"/>
        <v>0</v>
      </c>
      <c r="O109" s="27">
        <f t="shared" si="20"/>
        <v>0</v>
      </c>
      <c r="P109" s="36">
        <f>VLOOKUP(B109,'K Değerleri'!$C$3:$E$35,3,0)</f>
        <v>0</v>
      </c>
      <c r="Q109" s="35">
        <f>VLOOKUP(B109,'K Değerleri'!$C$3:$P$17,VLOOKUP(C109,'K Değerleri'!$E$20:$F$28,2,0),0)</f>
        <v>0</v>
      </c>
      <c r="R109" s="315">
        <f t="shared" si="15"/>
        <v>0</v>
      </c>
      <c r="S109" s="316"/>
      <c r="T109" s="29">
        <f t="shared" si="16"/>
        <v>0</v>
      </c>
    </row>
    <row r="110" spans="2:20" s="77" customFormat="1" ht="18" customHeight="1" thickBot="1">
      <c r="B110" s="33"/>
      <c r="C110" s="172"/>
      <c r="D110" s="10"/>
      <c r="E110" s="10"/>
      <c r="F110" s="20">
        <f t="shared" si="14"/>
        <v>0</v>
      </c>
      <c r="G110" s="255"/>
      <c r="H110" s="21">
        <f t="shared" si="17"/>
        <v>0</v>
      </c>
      <c r="I110" s="243">
        <f>IF(B110="Dp",VLOOKUP(C110,'Güneş Şiddeti'!$C$126:$P$134,4,0),0)</f>
        <v>0</v>
      </c>
      <c r="J110" s="244">
        <f>IF(B110="Dp",VLOOKUP(C110,'Güneş Şiddeti'!$C$126:$P$134,8,0),0)</f>
        <v>0</v>
      </c>
      <c r="K110" s="245">
        <f>IF(B110="Dp",VLOOKUP(C110,'Güneş Şiddeti'!$C$126:$P$134,12,0),0)</f>
        <v>0</v>
      </c>
      <c r="L110" s="246">
        <f>VLOOKUP(B110,'K Değerleri'!$C$3:$G$17,5,0)</f>
        <v>0</v>
      </c>
      <c r="M110" s="25">
        <f t="shared" si="18"/>
        <v>0</v>
      </c>
      <c r="N110" s="26">
        <f t="shared" si="19"/>
        <v>0</v>
      </c>
      <c r="O110" s="27">
        <f t="shared" si="20"/>
        <v>0</v>
      </c>
      <c r="P110" s="36">
        <f>VLOOKUP(B110,'K Değerleri'!$C$3:$E$35,3,0)</f>
        <v>0</v>
      </c>
      <c r="Q110" s="35">
        <f>VLOOKUP(B110,'K Değerleri'!$C$3:$P$17,VLOOKUP(C110,'K Değerleri'!$E$20:$F$28,2,0),0)</f>
        <v>0</v>
      </c>
      <c r="R110" s="315">
        <f t="shared" si="15"/>
        <v>0</v>
      </c>
      <c r="S110" s="316"/>
      <c r="T110" s="30">
        <f t="shared" si="16"/>
        <v>0</v>
      </c>
    </row>
    <row r="111" spans="2:20" s="77" customFormat="1" ht="18" customHeight="1" thickBot="1">
      <c r="B111" s="89"/>
      <c r="C111" s="90"/>
      <c r="D111" s="90"/>
      <c r="E111" s="90"/>
      <c r="F111" s="90"/>
      <c r="G111" s="90"/>
      <c r="H111" s="90"/>
      <c r="I111" s="91"/>
      <c r="J111" s="92"/>
      <c r="K111" s="92"/>
      <c r="L111" s="93" t="s">
        <v>14</v>
      </c>
      <c r="M111" s="251">
        <f>SUM(M100:M110)</f>
        <v>857.1034482758622</v>
      </c>
      <c r="N111" s="252">
        <f>SUM(N100:N110)</f>
        <v>1163.034482758621</v>
      </c>
      <c r="O111" s="253">
        <f>SUM(O100:O110)</f>
        <v>254.7586206896552</v>
      </c>
      <c r="P111" s="92"/>
      <c r="Q111" s="92"/>
      <c r="R111" s="92"/>
      <c r="S111" s="93" t="s">
        <v>15</v>
      </c>
      <c r="T111" s="94">
        <f>SUM(T100:T110)</f>
        <v>365.9316</v>
      </c>
    </row>
    <row r="112" spans="2:20" s="77" customFormat="1" ht="18" customHeight="1" thickBot="1">
      <c r="B112" s="86" t="s">
        <v>16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90"/>
      <c r="M112" s="90"/>
      <c r="N112" s="90"/>
      <c r="O112" s="90"/>
      <c r="P112" s="90"/>
      <c r="Q112" s="90"/>
      <c r="R112" s="90"/>
      <c r="S112" s="90"/>
      <c r="T112" s="109"/>
    </row>
    <row r="113" spans="2:25" s="77" customFormat="1" ht="18" customHeight="1">
      <c r="B113" s="282" t="s">
        <v>17</v>
      </c>
      <c r="C113" s="283"/>
      <c r="D113" s="283"/>
      <c r="E113" s="283"/>
      <c r="F113" s="283"/>
      <c r="G113" s="283" t="s">
        <v>21</v>
      </c>
      <c r="H113" s="283"/>
      <c r="I113" s="311"/>
      <c r="J113" s="301" t="s">
        <v>170</v>
      </c>
      <c r="K113" s="302"/>
      <c r="L113" s="96">
        <v>2</v>
      </c>
      <c r="M113" s="95" t="s">
        <v>23</v>
      </c>
      <c r="N113" s="301" t="s">
        <v>174</v>
      </c>
      <c r="O113" s="302"/>
      <c r="P113" s="76">
        <f>VLOOKUP(Y113,İnsan!$A$8:$D$21,3,0)</f>
        <v>70</v>
      </c>
      <c r="Q113" s="312" t="s">
        <v>26</v>
      </c>
      <c r="R113" s="313"/>
      <c r="S113" s="313"/>
      <c r="T113" s="99">
        <f>+L113*P113</f>
        <v>140</v>
      </c>
      <c r="Y113" s="77">
        <v>4</v>
      </c>
    </row>
    <row r="114" spans="2:20" s="77" customFormat="1" ht="18" customHeight="1">
      <c r="B114" s="274" t="s">
        <v>18</v>
      </c>
      <c r="C114" s="275"/>
      <c r="D114" s="275"/>
      <c r="E114" s="275"/>
      <c r="F114" s="275"/>
      <c r="G114" s="275" t="s">
        <v>22</v>
      </c>
      <c r="H114" s="275"/>
      <c r="I114" s="314"/>
      <c r="J114" s="278" t="s">
        <v>173</v>
      </c>
      <c r="K114" s="279" t="s">
        <v>171</v>
      </c>
      <c r="L114" s="8">
        <f>18*50</f>
        <v>900</v>
      </c>
      <c r="M114" s="83" t="s">
        <v>24</v>
      </c>
      <c r="N114" s="79" t="s">
        <v>177</v>
      </c>
      <c r="O114" s="82">
        <v>1</v>
      </c>
      <c r="P114" s="78" t="s">
        <v>27</v>
      </c>
      <c r="Q114" s="307" t="s">
        <v>176</v>
      </c>
      <c r="R114" s="279"/>
      <c r="S114" s="249">
        <v>0.25</v>
      </c>
      <c r="T114" s="101">
        <f>+L114*O114*S114*0.86</f>
        <v>193.5</v>
      </c>
    </row>
    <row r="115" spans="2:20" s="77" customFormat="1" ht="18" customHeight="1">
      <c r="B115" s="274" t="s">
        <v>19</v>
      </c>
      <c r="C115" s="275"/>
      <c r="D115" s="275"/>
      <c r="E115" s="275"/>
      <c r="F115" s="275"/>
      <c r="G115" s="308" t="s">
        <v>364</v>
      </c>
      <c r="H115" s="308"/>
      <c r="I115" s="309"/>
      <c r="J115" s="278" t="s">
        <v>172</v>
      </c>
      <c r="K115" s="279"/>
      <c r="L115" s="104">
        <v>100</v>
      </c>
      <c r="M115" s="103" t="s">
        <v>25</v>
      </c>
      <c r="N115" s="79" t="s">
        <v>178</v>
      </c>
      <c r="O115" s="87"/>
      <c r="P115" s="81">
        <v>0.1</v>
      </c>
      <c r="Q115" s="100" t="s">
        <v>179</v>
      </c>
      <c r="R115" s="80"/>
      <c r="S115" s="105">
        <f>+J93-K93</f>
        <v>13</v>
      </c>
      <c r="T115" s="101">
        <f>+L115*P115*S115*0.3</f>
        <v>39</v>
      </c>
    </row>
    <row r="116" spans="2:20" s="77" customFormat="1" ht="18" customHeight="1" thickBot="1">
      <c r="B116" s="294" t="s">
        <v>20</v>
      </c>
      <c r="C116" s="295"/>
      <c r="D116" s="295"/>
      <c r="E116" s="295"/>
      <c r="F116" s="305"/>
      <c r="G116" s="295" t="s">
        <v>361</v>
      </c>
      <c r="H116" s="295"/>
      <c r="I116" s="306"/>
      <c r="J116" s="296" t="s">
        <v>175</v>
      </c>
      <c r="K116" s="297"/>
      <c r="L116" s="10">
        <v>300</v>
      </c>
      <c r="M116" s="106" t="s">
        <v>24</v>
      </c>
      <c r="N116" s="79" t="s">
        <v>177</v>
      </c>
      <c r="O116" s="82">
        <v>1</v>
      </c>
      <c r="P116" s="78" t="s">
        <v>27</v>
      </c>
      <c r="Q116" s="307" t="s">
        <v>176</v>
      </c>
      <c r="R116" s="279"/>
      <c r="S116" s="249">
        <v>1</v>
      </c>
      <c r="T116" s="107">
        <f>+L116*O116*S116*0.86</f>
        <v>258</v>
      </c>
    </row>
    <row r="117" spans="2:20" s="77" customFormat="1" ht="18" customHeight="1" thickBot="1">
      <c r="B117" s="89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233"/>
      <c r="O117" s="234"/>
      <c r="P117" s="92"/>
      <c r="Q117" s="92"/>
      <c r="R117" s="92"/>
      <c r="S117" s="93" t="s">
        <v>28</v>
      </c>
      <c r="T117" s="94">
        <f>SUM(T113:T116)</f>
        <v>630.5</v>
      </c>
    </row>
    <row r="118" spans="2:20" s="77" customFormat="1" ht="18" customHeight="1" thickBot="1">
      <c r="B118" s="86" t="s">
        <v>29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90"/>
      <c r="M118" s="90"/>
      <c r="N118" s="90"/>
      <c r="O118" s="90"/>
      <c r="P118" s="90"/>
      <c r="Q118" s="90"/>
      <c r="R118" s="90"/>
      <c r="S118" s="90"/>
      <c r="T118" s="109"/>
    </row>
    <row r="119" spans="2:20" s="77" customFormat="1" ht="18" customHeight="1">
      <c r="B119" s="282" t="s">
        <v>30</v>
      </c>
      <c r="C119" s="283"/>
      <c r="D119" s="283"/>
      <c r="E119" s="283"/>
      <c r="F119" s="283"/>
      <c r="G119" s="283" t="s">
        <v>21</v>
      </c>
      <c r="H119" s="283"/>
      <c r="I119" s="311"/>
      <c r="J119" s="301" t="s">
        <v>170</v>
      </c>
      <c r="K119" s="302"/>
      <c r="L119" s="76">
        <f>+L113</f>
        <v>2</v>
      </c>
      <c r="M119" s="95" t="s">
        <v>23</v>
      </c>
      <c r="N119" s="301" t="s">
        <v>174</v>
      </c>
      <c r="O119" s="302"/>
      <c r="P119" s="76">
        <f>VLOOKUP(Y113,İnsan!$A$8:$D$21,4,0)</f>
        <v>60</v>
      </c>
      <c r="Q119" s="312" t="s">
        <v>33</v>
      </c>
      <c r="R119" s="313"/>
      <c r="S119" s="313"/>
      <c r="T119" s="99">
        <f>+L119*P119</f>
        <v>120</v>
      </c>
    </row>
    <row r="120" spans="2:20" s="77" customFormat="1" ht="18" customHeight="1">
      <c r="B120" s="274" t="s">
        <v>31</v>
      </c>
      <c r="C120" s="275"/>
      <c r="D120" s="275"/>
      <c r="E120" s="275"/>
      <c r="F120" s="275"/>
      <c r="G120" s="308" t="s">
        <v>365</v>
      </c>
      <c r="H120" s="308"/>
      <c r="I120" s="309"/>
      <c r="J120" s="278" t="s">
        <v>172</v>
      </c>
      <c r="K120" s="279"/>
      <c r="L120" s="102">
        <f>+L115</f>
        <v>100</v>
      </c>
      <c r="M120" s="103" t="s">
        <v>25</v>
      </c>
      <c r="N120" s="79" t="s">
        <v>178</v>
      </c>
      <c r="O120" s="87"/>
      <c r="P120" s="250">
        <f>+P115</f>
        <v>0.1</v>
      </c>
      <c r="Q120" s="310">
        <f>+L96</f>
        <v>4.5</v>
      </c>
      <c r="R120" s="279"/>
      <c r="S120" s="128" t="s">
        <v>368</v>
      </c>
      <c r="T120" s="101">
        <f>+L120*P120*Q120*0.7</f>
        <v>31.499999999999996</v>
      </c>
    </row>
    <row r="121" spans="2:20" s="77" customFormat="1" ht="18" customHeight="1" thickBot="1">
      <c r="B121" s="294" t="s">
        <v>32</v>
      </c>
      <c r="C121" s="295"/>
      <c r="D121" s="295"/>
      <c r="E121" s="295"/>
      <c r="F121" s="305"/>
      <c r="G121" s="295" t="s">
        <v>361</v>
      </c>
      <c r="H121" s="295"/>
      <c r="I121" s="306"/>
      <c r="J121" s="296" t="s">
        <v>373</v>
      </c>
      <c r="K121" s="297"/>
      <c r="L121" s="10"/>
      <c r="M121" s="106" t="s">
        <v>24</v>
      </c>
      <c r="N121" s="79" t="s">
        <v>177</v>
      </c>
      <c r="O121" s="82">
        <v>1</v>
      </c>
      <c r="P121" s="78" t="s">
        <v>27</v>
      </c>
      <c r="Q121" s="307" t="s">
        <v>176</v>
      </c>
      <c r="R121" s="279"/>
      <c r="S121" s="249">
        <v>1</v>
      </c>
      <c r="T121" s="107">
        <f>+L121*O121*S121*0.86</f>
        <v>0</v>
      </c>
    </row>
    <row r="122" spans="2:20" s="77" customFormat="1" ht="18" customHeight="1" thickBot="1">
      <c r="B122" s="89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233"/>
      <c r="O122" s="234"/>
      <c r="P122" s="234"/>
      <c r="Q122" s="92"/>
      <c r="R122" s="92"/>
      <c r="S122" s="93" t="s">
        <v>34</v>
      </c>
      <c r="T122" s="94">
        <f>SUM(T119:T121)</f>
        <v>151.5</v>
      </c>
    </row>
    <row r="123" spans="2:20" s="77" customFormat="1" ht="18" customHeight="1" thickBot="1">
      <c r="B123" s="86" t="s">
        <v>35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8"/>
    </row>
    <row r="124" spans="2:20" s="77" customFormat="1" ht="18" customHeight="1">
      <c r="B124" s="282" t="s">
        <v>19</v>
      </c>
      <c r="C124" s="283"/>
      <c r="D124" s="283"/>
      <c r="E124" s="283"/>
      <c r="F124" s="283"/>
      <c r="G124" s="97" t="s">
        <v>366</v>
      </c>
      <c r="H124" s="98"/>
      <c r="I124" s="112"/>
      <c r="J124" s="301" t="s">
        <v>172</v>
      </c>
      <c r="K124" s="302"/>
      <c r="L124" s="113">
        <f>+L115</f>
        <v>100</v>
      </c>
      <c r="M124" s="114" t="s">
        <v>25</v>
      </c>
      <c r="N124" s="303" t="s">
        <v>191</v>
      </c>
      <c r="O124" s="304"/>
      <c r="P124" s="114">
        <f>1-P115</f>
        <v>0.9</v>
      </c>
      <c r="Q124" s="301">
        <f>+L93</f>
        <v>13</v>
      </c>
      <c r="R124" s="302"/>
      <c r="S124" s="129" t="s">
        <v>369</v>
      </c>
      <c r="T124" s="99">
        <f>+L124*Q124*0.3*P124</f>
        <v>351</v>
      </c>
    </row>
    <row r="125" spans="2:20" s="77" customFormat="1" ht="18" customHeight="1" thickBot="1">
      <c r="B125" s="294" t="s">
        <v>31</v>
      </c>
      <c r="C125" s="295"/>
      <c r="D125" s="295"/>
      <c r="E125" s="295"/>
      <c r="F125" s="295"/>
      <c r="G125" s="85" t="s">
        <v>367</v>
      </c>
      <c r="H125" s="110"/>
      <c r="I125" s="111"/>
      <c r="J125" s="296" t="s">
        <v>172</v>
      </c>
      <c r="K125" s="297"/>
      <c r="L125" s="84">
        <f>+L124</f>
        <v>100</v>
      </c>
      <c r="M125" s="106" t="s">
        <v>25</v>
      </c>
      <c r="N125" s="298" t="s">
        <v>191</v>
      </c>
      <c r="O125" s="299"/>
      <c r="P125" s="106">
        <f>+P124</f>
        <v>0.9</v>
      </c>
      <c r="Q125" s="300">
        <f>+L96</f>
        <v>4.5</v>
      </c>
      <c r="R125" s="297"/>
      <c r="S125" s="130" t="s">
        <v>368</v>
      </c>
      <c r="T125" s="107">
        <f>+L125*Q125*0.7*P125</f>
        <v>283.5</v>
      </c>
    </row>
    <row r="126" spans="2:20" s="77" customFormat="1" ht="18" customHeight="1" thickBot="1">
      <c r="B126" s="108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91"/>
      <c r="O126" s="92"/>
      <c r="P126" s="92"/>
      <c r="Q126" s="92"/>
      <c r="R126" s="92"/>
      <c r="S126" s="115" t="s">
        <v>36</v>
      </c>
      <c r="T126" s="116">
        <f>SUM(T124:T125)</f>
        <v>634.5</v>
      </c>
    </row>
    <row r="127" spans="2:20" s="77" customFormat="1" ht="18" customHeight="1">
      <c r="B127" s="108" t="s">
        <v>37</v>
      </c>
      <c r="C127" s="87"/>
      <c r="D127" s="290" t="s">
        <v>39</v>
      </c>
      <c r="E127" s="293" t="s">
        <v>40</v>
      </c>
      <c r="F127" s="293"/>
      <c r="G127" s="293"/>
      <c r="H127" s="293"/>
      <c r="I127" s="117"/>
      <c r="J127" s="87" t="s">
        <v>37</v>
      </c>
      <c r="K127" s="290" t="s">
        <v>39</v>
      </c>
      <c r="L127" s="293">
        <f>MAX(M111:O111)+T111+T117+T124</f>
        <v>2510.466082758621</v>
      </c>
      <c r="M127" s="293"/>
      <c r="N127" s="293"/>
      <c r="O127" s="293"/>
      <c r="P127" s="293"/>
      <c r="Q127" s="293"/>
      <c r="R127" s="290" t="s">
        <v>39</v>
      </c>
      <c r="S127" s="290" t="s">
        <v>42</v>
      </c>
      <c r="T127" s="291">
        <f>+L127/L128</f>
        <v>0.7615628432790541</v>
      </c>
    </row>
    <row r="128" spans="2:20" s="77" customFormat="1" ht="18" customHeight="1">
      <c r="B128" s="108" t="s">
        <v>38</v>
      </c>
      <c r="C128" s="87"/>
      <c r="D128" s="290"/>
      <c r="E128" s="292" t="s">
        <v>41</v>
      </c>
      <c r="F128" s="292"/>
      <c r="G128" s="292"/>
      <c r="H128" s="292"/>
      <c r="I128" s="117"/>
      <c r="J128" s="87" t="s">
        <v>38</v>
      </c>
      <c r="K128" s="290"/>
      <c r="L128" s="292">
        <f>+L127+T122+T126</f>
        <v>3296.466082758621</v>
      </c>
      <c r="M128" s="292"/>
      <c r="N128" s="292"/>
      <c r="O128" s="292"/>
      <c r="P128" s="292"/>
      <c r="Q128" s="292"/>
      <c r="R128" s="290"/>
      <c r="S128" s="290"/>
      <c r="T128" s="291"/>
    </row>
    <row r="129" spans="2:20" s="77" customFormat="1" ht="18" customHeight="1" thickBot="1">
      <c r="B129" s="108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8"/>
    </row>
    <row r="130" spans="2:20" s="77" customFormat="1" ht="18" customHeight="1">
      <c r="B130" s="89"/>
      <c r="C130" s="118" t="s">
        <v>193</v>
      </c>
      <c r="D130" s="119"/>
      <c r="E130" s="119"/>
      <c r="F130" s="120"/>
      <c r="G130" s="121">
        <v>0.3333333333333333</v>
      </c>
      <c r="H130" s="122">
        <v>0.5</v>
      </c>
      <c r="I130" s="123">
        <v>0.6666666666666666</v>
      </c>
      <c r="J130" s="90"/>
      <c r="K130" s="235" t="s">
        <v>193</v>
      </c>
      <c r="L130" s="230"/>
      <c r="M130" s="236"/>
      <c r="N130" s="237">
        <v>0.3333333333333333</v>
      </c>
      <c r="O130" s="238">
        <v>0.5</v>
      </c>
      <c r="P130" s="239">
        <v>0.6666666666666666</v>
      </c>
      <c r="Q130" s="90"/>
      <c r="R130" s="90"/>
      <c r="S130" s="90"/>
      <c r="T130" s="109"/>
    </row>
    <row r="131" spans="2:20" s="77" customFormat="1" ht="18" customHeight="1" thickBot="1">
      <c r="B131" s="89"/>
      <c r="C131" s="284" t="s">
        <v>192</v>
      </c>
      <c r="D131" s="285"/>
      <c r="E131" s="285"/>
      <c r="F131" s="286"/>
      <c r="G131" s="124">
        <f>+M111+T111+T117+T122+T126</f>
        <v>2639.535048275862</v>
      </c>
      <c r="H131" s="125">
        <f>+N111+T111+T117+T122+T126</f>
        <v>2945.466082758621</v>
      </c>
      <c r="I131" s="126">
        <f>+O111+T111+T117+T122+T126</f>
        <v>2037.1902206896552</v>
      </c>
      <c r="J131" s="90"/>
      <c r="K131" s="287" t="s">
        <v>195</v>
      </c>
      <c r="L131" s="288"/>
      <c r="M131" s="289"/>
      <c r="N131" s="240">
        <f>+G131*4</f>
        <v>10558.140193103449</v>
      </c>
      <c r="O131" s="241">
        <f>+H131*4</f>
        <v>11781.864331034483</v>
      </c>
      <c r="P131" s="242">
        <f>+I131*4</f>
        <v>8148.760882758621</v>
      </c>
      <c r="Q131" s="90"/>
      <c r="R131" s="90"/>
      <c r="S131" s="90"/>
      <c r="T131" s="109"/>
    </row>
    <row r="132" spans="2:20" s="77" customFormat="1" ht="16.5" customHeight="1" thickBot="1">
      <c r="B132" s="173"/>
      <c r="C132" s="165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6"/>
    </row>
    <row r="133" spans="2:20" ht="37.5" customHeight="1">
      <c r="B133" s="267" t="s">
        <v>413</v>
      </c>
      <c r="C133" s="267"/>
      <c r="D133" s="267"/>
      <c r="E133" s="267"/>
      <c r="F133" s="267"/>
      <c r="G133" s="267"/>
      <c r="H133" s="267"/>
      <c r="I133" s="267"/>
      <c r="J133" s="267"/>
      <c r="K133" s="267"/>
      <c r="L133" s="267"/>
      <c r="M133" s="267"/>
      <c r="N133" s="267"/>
      <c r="O133" s="267"/>
      <c r="P133" s="267"/>
      <c r="Q133" s="267"/>
      <c r="R133" s="267"/>
      <c r="S133" s="267"/>
      <c r="T133" s="267"/>
    </row>
    <row r="134" ht="6.75" customHeight="1" thickBot="1"/>
    <row r="135" spans="2:20" s="77" customFormat="1" ht="16.5" customHeight="1">
      <c r="B135" s="282" t="s">
        <v>386</v>
      </c>
      <c r="C135" s="283"/>
      <c r="D135" s="283"/>
      <c r="E135" s="324" t="s">
        <v>414</v>
      </c>
      <c r="F135" s="324"/>
      <c r="G135" s="325"/>
      <c r="H135" s="344" t="s">
        <v>181</v>
      </c>
      <c r="I135" s="158" t="s">
        <v>13</v>
      </c>
      <c r="J135" s="154" t="s">
        <v>390</v>
      </c>
      <c r="K135" s="228" t="s">
        <v>391</v>
      </c>
      <c r="L135" s="154" t="s">
        <v>179</v>
      </c>
      <c r="M135" s="155" t="s">
        <v>188</v>
      </c>
      <c r="N135" s="133" t="s">
        <v>190</v>
      </c>
      <c r="O135" s="162">
        <v>2</v>
      </c>
      <c r="P135" s="163"/>
      <c r="Q135" s="229"/>
      <c r="R135" s="230"/>
      <c r="S135" s="160"/>
      <c r="T135" s="161"/>
    </row>
    <row r="136" spans="2:25" s="77" customFormat="1" ht="16.5" customHeight="1" thickBot="1">
      <c r="B136" s="274" t="s">
        <v>385</v>
      </c>
      <c r="C136" s="275"/>
      <c r="D136" s="275"/>
      <c r="E136" s="276" t="str">
        <f>VLOOKUP($Y$4,'Güneş Şiddeti'!$B$112:$C$123,2,0)</f>
        <v>Temmuz</v>
      </c>
      <c r="F136" s="276"/>
      <c r="G136" s="277"/>
      <c r="H136" s="345"/>
      <c r="I136" s="80" t="s">
        <v>387</v>
      </c>
      <c r="J136" s="81">
        <f>VLOOKUP(E138,'Dış Hava'!$B$6:$S$60,10,0)</f>
        <v>-6</v>
      </c>
      <c r="K136" s="82">
        <v>22</v>
      </c>
      <c r="L136" s="81">
        <f>-J136+K136</f>
        <v>28</v>
      </c>
      <c r="M136" s="83"/>
      <c r="N136" s="79" t="s">
        <v>184</v>
      </c>
      <c r="O136" s="254">
        <f ca="1">TODAY()</f>
        <v>43479</v>
      </c>
      <c r="P136" s="164"/>
      <c r="Q136" s="89"/>
      <c r="R136" s="90"/>
      <c r="S136" s="326"/>
      <c r="T136" s="327"/>
      <c r="Y136" s="77">
        <v>7</v>
      </c>
    </row>
    <row r="137" spans="2:25" s="77" customFormat="1" ht="16.5" customHeight="1">
      <c r="B137" s="274" t="s">
        <v>187</v>
      </c>
      <c r="C137" s="275"/>
      <c r="D137" s="275"/>
      <c r="E137" s="324" t="s">
        <v>415</v>
      </c>
      <c r="F137" s="324"/>
      <c r="G137" s="325"/>
      <c r="H137" s="345"/>
      <c r="I137" s="80" t="s">
        <v>388</v>
      </c>
      <c r="J137" s="81">
        <f>VLOOKUP(E138,'Dış Hava'!$B$6:$S$60,11,0)</f>
        <v>37</v>
      </c>
      <c r="K137" s="82">
        <v>24</v>
      </c>
      <c r="L137" s="81">
        <f>+J137-K137</f>
        <v>13</v>
      </c>
      <c r="M137" s="156"/>
      <c r="N137" s="79" t="s">
        <v>185</v>
      </c>
      <c r="O137" s="268" t="s">
        <v>414</v>
      </c>
      <c r="P137" s="269"/>
      <c r="Q137" s="89"/>
      <c r="R137" s="90"/>
      <c r="S137" s="326"/>
      <c r="T137" s="327"/>
      <c r="Y137" s="77">
        <v>13</v>
      </c>
    </row>
    <row r="138" spans="2:20" s="77" customFormat="1" ht="16.5" customHeight="1">
      <c r="B138" s="274" t="s">
        <v>0</v>
      </c>
      <c r="C138" s="275"/>
      <c r="D138" s="275"/>
      <c r="E138" s="276" t="str">
        <f>VLOOKUP($Y$5,'Dış Hava'!$A$6:$B$60,2,0)</f>
        <v>Bursa</v>
      </c>
      <c r="F138" s="276"/>
      <c r="G138" s="277"/>
      <c r="H138" s="345"/>
      <c r="I138" s="80" t="s">
        <v>389</v>
      </c>
      <c r="J138" s="81">
        <f>VLOOKUP(E138,'Dış Hava'!$B$6:$S$60,13,0)</f>
        <v>25</v>
      </c>
      <c r="K138" s="82">
        <v>18.5</v>
      </c>
      <c r="L138" s="81">
        <f>+J138-K138</f>
        <v>6.5</v>
      </c>
      <c r="M138" s="248"/>
      <c r="N138" s="79" t="s">
        <v>411</v>
      </c>
      <c r="O138" s="268" t="s">
        <v>412</v>
      </c>
      <c r="P138" s="269"/>
      <c r="Q138" s="89"/>
      <c r="R138" s="90"/>
      <c r="S138" s="347"/>
      <c r="T138" s="348"/>
    </row>
    <row r="139" spans="2:20" s="77" customFormat="1" ht="16.5" customHeight="1">
      <c r="B139" s="278" t="s">
        <v>1</v>
      </c>
      <c r="C139" s="279"/>
      <c r="D139" s="280"/>
      <c r="E139" s="281"/>
      <c r="F139" s="78" t="s">
        <v>2</v>
      </c>
      <c r="G139" s="258"/>
      <c r="H139" s="345"/>
      <c r="I139" s="80" t="s">
        <v>393</v>
      </c>
      <c r="J139" s="247">
        <f>VLOOKUP(E138,'Dış Hava'!$B$6:$S$60,15,0)/100</f>
        <v>0.38</v>
      </c>
      <c r="K139" s="153">
        <v>0.5</v>
      </c>
      <c r="L139" s="152" t="s">
        <v>392</v>
      </c>
      <c r="M139" s="83"/>
      <c r="N139" s="79" t="s">
        <v>362</v>
      </c>
      <c r="O139" s="270" t="s">
        <v>410</v>
      </c>
      <c r="P139" s="271"/>
      <c r="Q139" s="333" t="s">
        <v>372</v>
      </c>
      <c r="R139" s="334"/>
      <c r="S139" s="334"/>
      <c r="T139" s="335"/>
    </row>
    <row r="140" spans="2:20" s="77" customFormat="1" ht="16.5" customHeight="1" thickBot="1">
      <c r="B140" s="179" t="s">
        <v>186</v>
      </c>
      <c r="C140" s="84"/>
      <c r="D140" s="328" t="s">
        <v>419</v>
      </c>
      <c r="E140" s="329"/>
      <c r="F140" s="329"/>
      <c r="G140" s="330"/>
      <c r="H140" s="346"/>
      <c r="I140" s="159" t="s">
        <v>189</v>
      </c>
      <c r="J140" s="131">
        <f>VLOOKUP(E138,'Dış Hava'!$B$6:$S$60,16,0)</f>
        <v>15</v>
      </c>
      <c r="K140" s="231">
        <v>10.5</v>
      </c>
      <c r="L140" s="157">
        <f>+J140-K140</f>
        <v>4.5</v>
      </c>
      <c r="M140" s="106"/>
      <c r="N140" s="132" t="s">
        <v>180</v>
      </c>
      <c r="O140" s="272" t="s">
        <v>410</v>
      </c>
      <c r="P140" s="273"/>
      <c r="Q140" s="336"/>
      <c r="R140" s="337"/>
      <c r="S140" s="337"/>
      <c r="T140" s="338"/>
    </row>
    <row r="141" spans="2:20" s="77" customFormat="1" ht="18" customHeight="1" thickBot="1">
      <c r="B141" s="232" t="s">
        <v>3</v>
      </c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109"/>
    </row>
    <row r="142" spans="2:20" s="77" customFormat="1" ht="18" customHeight="1" thickBot="1">
      <c r="B142" s="339" t="s">
        <v>183</v>
      </c>
      <c r="C142" s="341" t="s">
        <v>4</v>
      </c>
      <c r="D142" s="341" t="s">
        <v>182</v>
      </c>
      <c r="E142" s="341" t="s">
        <v>5</v>
      </c>
      <c r="F142" s="317" t="s">
        <v>8</v>
      </c>
      <c r="G142" s="317" t="s">
        <v>9</v>
      </c>
      <c r="H142" s="319" t="s">
        <v>10</v>
      </c>
      <c r="I142" s="321" t="s">
        <v>11</v>
      </c>
      <c r="J142" s="322"/>
      <c r="K142" s="322"/>
      <c r="L142" s="322"/>
      <c r="M142" s="322"/>
      <c r="N142" s="322"/>
      <c r="O142" s="323"/>
      <c r="P142" s="321" t="s">
        <v>12</v>
      </c>
      <c r="Q142" s="322"/>
      <c r="R142" s="322"/>
      <c r="S142" s="322"/>
      <c r="T142" s="323"/>
    </row>
    <row r="143" spans="2:20" s="77" customFormat="1" ht="39.75" customHeight="1" thickBot="1">
      <c r="B143" s="340"/>
      <c r="C143" s="342"/>
      <c r="D143" s="343"/>
      <c r="E143" s="342"/>
      <c r="F143" s="318"/>
      <c r="G143" s="318"/>
      <c r="H143" s="320"/>
      <c r="I143" s="13" t="s">
        <v>168</v>
      </c>
      <c r="J143" s="14" t="s">
        <v>162</v>
      </c>
      <c r="K143" s="15" t="s">
        <v>163</v>
      </c>
      <c r="L143" s="16" t="s">
        <v>167</v>
      </c>
      <c r="M143" s="13" t="s">
        <v>164</v>
      </c>
      <c r="N143" s="14" t="s">
        <v>165</v>
      </c>
      <c r="O143" s="15" t="s">
        <v>166</v>
      </c>
      <c r="P143" s="17" t="s">
        <v>7</v>
      </c>
      <c r="Q143" s="127" t="s">
        <v>363</v>
      </c>
      <c r="R143" s="349" t="s">
        <v>48</v>
      </c>
      <c r="S143" s="350"/>
      <c r="T143" s="18" t="s">
        <v>6</v>
      </c>
    </row>
    <row r="144" spans="2:20" s="77" customFormat="1" ht="18" customHeight="1">
      <c r="B144" s="167" t="s">
        <v>396</v>
      </c>
      <c r="C144" s="168" t="s">
        <v>43</v>
      </c>
      <c r="D144" s="96">
        <f>3.5*3</f>
        <v>10.5</v>
      </c>
      <c r="E144" s="96">
        <v>1</v>
      </c>
      <c r="F144" s="169">
        <f aca="true" t="shared" si="21" ref="F144:F154">+D144*E144</f>
        <v>10.5</v>
      </c>
      <c r="G144" s="96"/>
      <c r="H144" s="170">
        <f>+F144-G144</f>
        <v>10.5</v>
      </c>
      <c r="I144" s="243">
        <f>IF(B144="Dp",VLOOKUP(C144,'Güneş Şiddeti'!$C$126:$P$134,4,0),0)</f>
        <v>29.31034482758621</v>
      </c>
      <c r="J144" s="244">
        <f>IF(B144="Dp",VLOOKUP(C144,'Güneş Şiddeti'!$C$126:$P$134,8,0),0)</f>
        <v>37.931034482758626</v>
      </c>
      <c r="K144" s="245">
        <f>IF(B144="Dp",VLOOKUP(C144,'Güneş Şiddeti'!$C$126:$P$134,12,0),0)</f>
        <v>29.31034482758621</v>
      </c>
      <c r="L144" s="246">
        <f>VLOOKUP(B144,'K Değerleri'!$C$3:$G$17,5,0)</f>
        <v>0.8</v>
      </c>
      <c r="M144" s="22">
        <f>+H144*I144*L144</f>
        <v>246.20689655172418</v>
      </c>
      <c r="N144" s="23">
        <f>+H144*J144*L144</f>
        <v>318.6206896551725</v>
      </c>
      <c r="O144" s="24">
        <f>+H144*K144*L144</f>
        <v>246.20689655172418</v>
      </c>
      <c r="P144" s="34">
        <f>VLOOKUP(B144,'K Değerleri'!$C$3:$E$35,3,0)</f>
        <v>2.9</v>
      </c>
      <c r="Q144" s="35">
        <f>VLOOKUP(B144,'K Değerleri'!$C$3:$P$17,VLOOKUP(C144,'K Değerleri'!$E$20:$F$28,2,0),0)</f>
        <v>9</v>
      </c>
      <c r="R144" s="331">
        <f>+P144*Q144</f>
        <v>26.099999999999998</v>
      </c>
      <c r="S144" s="332"/>
      <c r="T144" s="28">
        <f>+R144*H144</f>
        <v>274.04999999999995</v>
      </c>
    </row>
    <row r="145" spans="2:20" s="77" customFormat="1" ht="18" customHeight="1">
      <c r="B145" s="32"/>
      <c r="C145" s="75"/>
      <c r="D145" s="8"/>
      <c r="E145" s="8"/>
      <c r="F145" s="19">
        <f t="shared" si="21"/>
        <v>0</v>
      </c>
      <c r="G145" s="9"/>
      <c r="H145" s="171">
        <f>+F145-G145</f>
        <v>0</v>
      </c>
      <c r="I145" s="243">
        <f>IF(B145="Dp",VLOOKUP(C145,'Güneş Şiddeti'!$C$126:$P$134,4,0),0)</f>
        <v>0</v>
      </c>
      <c r="J145" s="244">
        <f>IF(B145="Dp",VLOOKUP(C145,'Güneş Şiddeti'!$C$126:$P$134,8,0),0)</f>
        <v>0</v>
      </c>
      <c r="K145" s="245">
        <f>IF(B145="Dp",VLOOKUP(C145,'Güneş Şiddeti'!$C$126:$P$134,12,0),0)</f>
        <v>0</v>
      </c>
      <c r="L145" s="246">
        <f>VLOOKUP(B145,'K Değerleri'!$C$3:$G$17,5,0)</f>
        <v>0</v>
      </c>
      <c r="M145" s="25">
        <f>+H145*I145*L145</f>
        <v>0</v>
      </c>
      <c r="N145" s="26">
        <f>+H145*J145*L145</f>
        <v>0</v>
      </c>
      <c r="O145" s="27">
        <f>+H145*K145*L145</f>
        <v>0</v>
      </c>
      <c r="P145" s="36">
        <f>VLOOKUP(B145,'K Değerleri'!$C$3:$E$35,3,0)</f>
        <v>0</v>
      </c>
      <c r="Q145" s="35">
        <f>VLOOKUP(B145,'K Değerleri'!$C$3:$P$17,VLOOKUP(C145,'K Değerleri'!$E$20:$F$28,2,0),0)</f>
        <v>0</v>
      </c>
      <c r="R145" s="315">
        <f>+P145*Q145</f>
        <v>0</v>
      </c>
      <c r="S145" s="316"/>
      <c r="T145" s="29">
        <f>+R145*H145</f>
        <v>0</v>
      </c>
    </row>
    <row r="146" spans="2:20" s="77" customFormat="1" ht="18" customHeight="1">
      <c r="B146" s="32"/>
      <c r="C146" s="75"/>
      <c r="D146" s="8"/>
      <c r="E146" s="8"/>
      <c r="F146" s="19">
        <f t="shared" si="21"/>
        <v>0</v>
      </c>
      <c r="G146" s="9"/>
      <c r="H146" s="171">
        <f>+F146-G146</f>
        <v>0</v>
      </c>
      <c r="I146" s="243">
        <f>IF(B146="Dp",VLOOKUP(C146,'Güneş Şiddeti'!$C$126:$P$134,4,0),0)</f>
        <v>0</v>
      </c>
      <c r="J146" s="244">
        <f>IF(B146="Dp",VLOOKUP(C146,'Güneş Şiddeti'!$C$126:$P$134,8,0),0)</f>
        <v>0</v>
      </c>
      <c r="K146" s="245">
        <f>IF(B146="Dp",VLOOKUP(C146,'Güneş Şiddeti'!$C$126:$P$134,12,0),0)</f>
        <v>0</v>
      </c>
      <c r="L146" s="246">
        <f>VLOOKUP(B146,'K Değerleri'!$C$3:$G$17,5,0)</f>
        <v>0</v>
      </c>
      <c r="M146" s="25">
        <f>+H146*I146*L146</f>
        <v>0</v>
      </c>
      <c r="N146" s="26">
        <f>+H146*J146*L146</f>
        <v>0</v>
      </c>
      <c r="O146" s="27">
        <f>+H146*K146*L146</f>
        <v>0</v>
      </c>
      <c r="P146" s="36">
        <f>VLOOKUP(B146,'K Değerleri'!$C$3:$E$35,3,0)</f>
        <v>0</v>
      </c>
      <c r="Q146" s="35">
        <f>VLOOKUP(B146,'K Değerleri'!$C$3:$P$17,VLOOKUP(C146,'K Değerleri'!$E$20:$F$28,2,0),0)</f>
        <v>0</v>
      </c>
      <c r="R146" s="315">
        <f aca="true" t="shared" si="22" ref="R146:R154">+P146*Q146</f>
        <v>0</v>
      </c>
      <c r="S146" s="316"/>
      <c r="T146" s="29">
        <f aca="true" t="shared" si="23" ref="T146:T154">+R146*H146</f>
        <v>0</v>
      </c>
    </row>
    <row r="147" spans="2:20" s="77" customFormat="1" ht="18" customHeight="1">
      <c r="B147" s="32"/>
      <c r="C147" s="75"/>
      <c r="D147" s="8"/>
      <c r="E147" s="8"/>
      <c r="F147" s="19">
        <f t="shared" si="21"/>
        <v>0</v>
      </c>
      <c r="G147" s="9"/>
      <c r="H147" s="171">
        <f>+F147-G147</f>
        <v>0</v>
      </c>
      <c r="I147" s="243">
        <f>IF(B147="Dp",VLOOKUP(C147,'Güneş Şiddeti'!$C$126:$P$134,4,0),0)</f>
        <v>0</v>
      </c>
      <c r="J147" s="244">
        <f>IF(B147="Dp",VLOOKUP(C147,'Güneş Şiddeti'!$C$126:$P$134,8,0),0)</f>
        <v>0</v>
      </c>
      <c r="K147" s="245">
        <f>IF(B147="Dp",VLOOKUP(C147,'Güneş Şiddeti'!$C$126:$P$134,12,0),0)</f>
        <v>0</v>
      </c>
      <c r="L147" s="246">
        <f>VLOOKUP(B147,'K Değerleri'!$C$3:$G$17,5,0)</f>
        <v>0</v>
      </c>
      <c r="M147" s="25">
        <f>+H147*I147*L147</f>
        <v>0</v>
      </c>
      <c r="N147" s="26">
        <f>+H147*J147*L147</f>
        <v>0</v>
      </c>
      <c r="O147" s="27">
        <f>+H147*K147*L147</f>
        <v>0</v>
      </c>
      <c r="P147" s="36">
        <f>VLOOKUP(B147,'K Değerleri'!$C$3:$E$35,3,0)</f>
        <v>0</v>
      </c>
      <c r="Q147" s="35">
        <f>VLOOKUP(B147,'K Değerleri'!$C$3:$P$17,VLOOKUP(C147,'K Değerleri'!$E$20:$F$28,2,0),0)</f>
        <v>0</v>
      </c>
      <c r="R147" s="315">
        <f t="shared" si="22"/>
        <v>0</v>
      </c>
      <c r="S147" s="316"/>
      <c r="T147" s="29">
        <f t="shared" si="23"/>
        <v>0</v>
      </c>
    </row>
    <row r="148" spans="2:20" s="77" customFormat="1" ht="18" customHeight="1">
      <c r="B148" s="32"/>
      <c r="C148" s="75"/>
      <c r="D148" s="8"/>
      <c r="E148" s="8"/>
      <c r="F148" s="19">
        <f t="shared" si="21"/>
        <v>0</v>
      </c>
      <c r="G148" s="9"/>
      <c r="H148" s="171">
        <f aca="true" t="shared" si="24" ref="H148:H154">+F148-G148</f>
        <v>0</v>
      </c>
      <c r="I148" s="243">
        <f>IF(B148="Dp",VLOOKUP(C148,'Güneş Şiddeti'!$C$126:$P$134,4,0),0)</f>
        <v>0</v>
      </c>
      <c r="J148" s="244">
        <f>IF(B148="Dp",VLOOKUP(C148,'Güneş Şiddeti'!$C$126:$P$134,8,0),0)</f>
        <v>0</v>
      </c>
      <c r="K148" s="245">
        <f>IF(B148="Dp",VLOOKUP(C148,'Güneş Şiddeti'!$C$126:$P$134,12,0),0)</f>
        <v>0</v>
      </c>
      <c r="L148" s="246">
        <f>VLOOKUP(B148,'K Değerleri'!$C$3:$G$17,5,0)</f>
        <v>0</v>
      </c>
      <c r="M148" s="25">
        <f>+H148*I148*L148</f>
        <v>0</v>
      </c>
      <c r="N148" s="26">
        <f>+H148*J148*L148</f>
        <v>0</v>
      </c>
      <c r="O148" s="27">
        <f>+H148*K148*L148</f>
        <v>0</v>
      </c>
      <c r="P148" s="36">
        <f>VLOOKUP(B148,'K Değerleri'!$C$3:$E$35,3,0)</f>
        <v>0</v>
      </c>
      <c r="Q148" s="35">
        <f>VLOOKUP(B148,'K Değerleri'!$C$3:$P$17,VLOOKUP(C148,'K Değerleri'!$E$20:$F$28,2,0),0)</f>
        <v>0</v>
      </c>
      <c r="R148" s="315">
        <f t="shared" si="22"/>
        <v>0</v>
      </c>
      <c r="S148" s="316"/>
      <c r="T148" s="29">
        <f t="shared" si="23"/>
        <v>0</v>
      </c>
    </row>
    <row r="149" spans="2:20" s="77" customFormat="1" ht="18" customHeight="1">
      <c r="B149" s="32"/>
      <c r="C149" s="75"/>
      <c r="D149" s="8"/>
      <c r="E149" s="8"/>
      <c r="F149" s="19">
        <f t="shared" si="21"/>
        <v>0</v>
      </c>
      <c r="G149" s="9"/>
      <c r="H149" s="171">
        <f t="shared" si="24"/>
        <v>0</v>
      </c>
      <c r="I149" s="243">
        <f>IF(B149="Dp",VLOOKUP(C149,'Güneş Şiddeti'!$C$126:$P$134,4,0),0)</f>
        <v>0</v>
      </c>
      <c r="J149" s="244">
        <f>IF(B149="Dp",VLOOKUP(C149,'Güneş Şiddeti'!$C$126:$P$134,8,0),0)</f>
        <v>0</v>
      </c>
      <c r="K149" s="245">
        <f>IF(B149="Dp",VLOOKUP(C149,'Güneş Şiddeti'!$C$126:$P$134,12,0),0)</f>
        <v>0</v>
      </c>
      <c r="L149" s="246">
        <f>VLOOKUP(B149,'K Değerleri'!$C$3:$G$17,5,0)</f>
        <v>0</v>
      </c>
      <c r="M149" s="25">
        <f aca="true" t="shared" si="25" ref="M149:M154">+H149*I149*L149</f>
        <v>0</v>
      </c>
      <c r="N149" s="26">
        <f aca="true" t="shared" si="26" ref="N149:N154">+H149*J149*L149</f>
        <v>0</v>
      </c>
      <c r="O149" s="27">
        <f aca="true" t="shared" si="27" ref="O149:O154">+H149*K149*L149</f>
        <v>0</v>
      </c>
      <c r="P149" s="36">
        <f>VLOOKUP(B149,'K Değerleri'!$C$3:$E$35,3,0)</f>
        <v>0</v>
      </c>
      <c r="Q149" s="35">
        <f>VLOOKUP(B149,'K Değerleri'!$C$3:$P$17,VLOOKUP(C149,'K Değerleri'!$E$20:$F$28,2,0),0)</f>
        <v>0</v>
      </c>
      <c r="R149" s="315">
        <f t="shared" si="22"/>
        <v>0</v>
      </c>
      <c r="S149" s="316"/>
      <c r="T149" s="29">
        <f t="shared" si="23"/>
        <v>0</v>
      </c>
    </row>
    <row r="150" spans="2:20" s="77" customFormat="1" ht="18" customHeight="1">
      <c r="B150" s="32"/>
      <c r="C150" s="75"/>
      <c r="D150" s="8"/>
      <c r="E150" s="8"/>
      <c r="F150" s="19">
        <f t="shared" si="21"/>
        <v>0</v>
      </c>
      <c r="G150" s="9"/>
      <c r="H150" s="171">
        <f t="shared" si="24"/>
        <v>0</v>
      </c>
      <c r="I150" s="243">
        <f>IF(B150="Dp",VLOOKUP(C150,'Güneş Şiddeti'!$C$126:$P$134,4,0),0)</f>
        <v>0</v>
      </c>
      <c r="J150" s="244">
        <f>IF(B150="Dp",VLOOKUP(C150,'Güneş Şiddeti'!$C$126:$P$134,8,0),0)</f>
        <v>0</v>
      </c>
      <c r="K150" s="245">
        <f>IF(B150="Dp",VLOOKUP(C150,'Güneş Şiddeti'!$C$126:$P$134,12,0),0)</f>
        <v>0</v>
      </c>
      <c r="L150" s="246">
        <f>VLOOKUP(B150,'K Değerleri'!$C$3:$G$17,5,0)</f>
        <v>0</v>
      </c>
      <c r="M150" s="25">
        <f t="shared" si="25"/>
        <v>0</v>
      </c>
      <c r="N150" s="26">
        <f t="shared" si="26"/>
        <v>0</v>
      </c>
      <c r="O150" s="27">
        <f t="shared" si="27"/>
        <v>0</v>
      </c>
      <c r="P150" s="36">
        <f>VLOOKUP(B150,'K Değerleri'!$C$3:$E$35,3,0)</f>
        <v>0</v>
      </c>
      <c r="Q150" s="35">
        <f>VLOOKUP(B150,'K Değerleri'!$C$3:$P$17,VLOOKUP(C150,'K Değerleri'!$E$20:$F$28,2,0),0)</f>
        <v>0</v>
      </c>
      <c r="R150" s="315">
        <f t="shared" si="22"/>
        <v>0</v>
      </c>
      <c r="S150" s="316"/>
      <c r="T150" s="29">
        <f t="shared" si="23"/>
        <v>0</v>
      </c>
    </row>
    <row r="151" spans="2:20" s="77" customFormat="1" ht="18" customHeight="1">
      <c r="B151" s="32"/>
      <c r="C151" s="75"/>
      <c r="D151" s="8"/>
      <c r="E151" s="8"/>
      <c r="F151" s="19">
        <f t="shared" si="21"/>
        <v>0</v>
      </c>
      <c r="G151" s="9"/>
      <c r="H151" s="171">
        <f t="shared" si="24"/>
        <v>0</v>
      </c>
      <c r="I151" s="243">
        <f>IF(B151="Dp",VLOOKUP(C151,'Güneş Şiddeti'!$C$126:$P$134,4,0),0)</f>
        <v>0</v>
      </c>
      <c r="J151" s="244">
        <f>IF(B151="Dp",VLOOKUP(C151,'Güneş Şiddeti'!$C$126:$P$134,8,0),0)</f>
        <v>0</v>
      </c>
      <c r="K151" s="245">
        <f>IF(B151="Dp",VLOOKUP(C151,'Güneş Şiddeti'!$C$126:$P$134,12,0),0)</f>
        <v>0</v>
      </c>
      <c r="L151" s="246">
        <f>VLOOKUP(B151,'K Değerleri'!$C$3:$G$17,5,0)</f>
        <v>0</v>
      </c>
      <c r="M151" s="25">
        <f t="shared" si="25"/>
        <v>0</v>
      </c>
      <c r="N151" s="26">
        <f t="shared" si="26"/>
        <v>0</v>
      </c>
      <c r="O151" s="27">
        <f t="shared" si="27"/>
        <v>0</v>
      </c>
      <c r="P151" s="36">
        <f>VLOOKUP(B151,'K Değerleri'!$C$3:$E$35,3,0)</f>
        <v>0</v>
      </c>
      <c r="Q151" s="35">
        <f>VLOOKUP(B151,'K Değerleri'!$C$3:$P$17,VLOOKUP(C151,'K Değerleri'!$E$20:$F$28,2,0),0)</f>
        <v>0</v>
      </c>
      <c r="R151" s="315">
        <f t="shared" si="22"/>
        <v>0</v>
      </c>
      <c r="S151" s="316"/>
      <c r="T151" s="29">
        <f t="shared" si="23"/>
        <v>0</v>
      </c>
    </row>
    <row r="152" spans="2:20" s="77" customFormat="1" ht="18" customHeight="1">
      <c r="B152" s="32"/>
      <c r="C152" s="75"/>
      <c r="D152" s="8"/>
      <c r="E152" s="8"/>
      <c r="F152" s="19">
        <f t="shared" si="21"/>
        <v>0</v>
      </c>
      <c r="G152" s="8"/>
      <c r="H152" s="171">
        <f t="shared" si="24"/>
        <v>0</v>
      </c>
      <c r="I152" s="243">
        <f>IF(B152="Dp",VLOOKUP(C152,'Güneş Şiddeti'!$C$126:$P$134,4,0),0)</f>
        <v>0</v>
      </c>
      <c r="J152" s="244">
        <f>IF(B152="Dp",VLOOKUP(C152,'Güneş Şiddeti'!$C$126:$P$134,8,0),0)</f>
        <v>0</v>
      </c>
      <c r="K152" s="245">
        <f>IF(B152="Dp",VLOOKUP(C152,'Güneş Şiddeti'!$C$126:$P$134,12,0),0)</f>
        <v>0</v>
      </c>
      <c r="L152" s="246">
        <f>VLOOKUP(B152,'K Değerleri'!$C$3:$G$17,5,0)</f>
        <v>0</v>
      </c>
      <c r="M152" s="25">
        <f t="shared" si="25"/>
        <v>0</v>
      </c>
      <c r="N152" s="26">
        <f t="shared" si="26"/>
        <v>0</v>
      </c>
      <c r="O152" s="27">
        <f t="shared" si="27"/>
        <v>0</v>
      </c>
      <c r="P152" s="36">
        <f>VLOOKUP(B152,'K Değerleri'!$C$3:$E$35,3,0)</f>
        <v>0</v>
      </c>
      <c r="Q152" s="35">
        <f>VLOOKUP(B152,'K Değerleri'!$C$3:$P$17,VLOOKUP(C152,'K Değerleri'!$E$20:$F$28,2,0),0)</f>
        <v>0</v>
      </c>
      <c r="R152" s="315">
        <f t="shared" si="22"/>
        <v>0</v>
      </c>
      <c r="S152" s="316"/>
      <c r="T152" s="29">
        <f t="shared" si="23"/>
        <v>0</v>
      </c>
    </row>
    <row r="153" spans="2:20" s="77" customFormat="1" ht="18" customHeight="1">
      <c r="B153" s="32"/>
      <c r="C153" s="75"/>
      <c r="D153" s="8"/>
      <c r="E153" s="8"/>
      <c r="F153" s="19">
        <f t="shared" si="21"/>
        <v>0</v>
      </c>
      <c r="G153" s="8"/>
      <c r="H153" s="171">
        <f t="shared" si="24"/>
        <v>0</v>
      </c>
      <c r="I153" s="243">
        <f>IF(B153="Dp",VLOOKUP(C153,'Güneş Şiddeti'!$C$126:$P$134,4,0),0)</f>
        <v>0</v>
      </c>
      <c r="J153" s="244">
        <f>IF(B153="Dp",VLOOKUP(C153,'Güneş Şiddeti'!$C$126:$P$134,8,0),0)</f>
        <v>0</v>
      </c>
      <c r="K153" s="245">
        <f>IF(B153="Dp",VLOOKUP(C153,'Güneş Şiddeti'!$C$126:$P$134,12,0),0)</f>
        <v>0</v>
      </c>
      <c r="L153" s="246">
        <f>VLOOKUP(B153,'K Değerleri'!$C$3:$G$17,5,0)</f>
        <v>0</v>
      </c>
      <c r="M153" s="25">
        <f t="shared" si="25"/>
        <v>0</v>
      </c>
      <c r="N153" s="26">
        <f t="shared" si="26"/>
        <v>0</v>
      </c>
      <c r="O153" s="27">
        <f t="shared" si="27"/>
        <v>0</v>
      </c>
      <c r="P153" s="36">
        <f>VLOOKUP(B153,'K Değerleri'!$C$3:$E$35,3,0)</f>
        <v>0</v>
      </c>
      <c r="Q153" s="35">
        <f>VLOOKUP(B153,'K Değerleri'!$C$3:$P$17,VLOOKUP(C153,'K Değerleri'!$E$20:$F$28,2,0),0)</f>
        <v>0</v>
      </c>
      <c r="R153" s="315">
        <f t="shared" si="22"/>
        <v>0</v>
      </c>
      <c r="S153" s="316"/>
      <c r="T153" s="29">
        <f t="shared" si="23"/>
        <v>0</v>
      </c>
    </row>
    <row r="154" spans="2:20" s="77" customFormat="1" ht="18" customHeight="1" thickBot="1">
      <c r="B154" s="33"/>
      <c r="C154" s="172"/>
      <c r="D154" s="10"/>
      <c r="E154" s="10"/>
      <c r="F154" s="20">
        <f t="shared" si="21"/>
        <v>0</v>
      </c>
      <c r="G154" s="255"/>
      <c r="H154" s="21">
        <f t="shared" si="24"/>
        <v>0</v>
      </c>
      <c r="I154" s="243">
        <f>IF(B154="Dp",VLOOKUP(C154,'Güneş Şiddeti'!$C$126:$P$134,4,0),0)</f>
        <v>0</v>
      </c>
      <c r="J154" s="244">
        <f>IF(B154="Dp",VLOOKUP(C154,'Güneş Şiddeti'!$C$126:$P$134,8,0),0)</f>
        <v>0</v>
      </c>
      <c r="K154" s="245">
        <f>IF(B154="Dp",VLOOKUP(C154,'Güneş Şiddeti'!$C$126:$P$134,12,0),0)</f>
        <v>0</v>
      </c>
      <c r="L154" s="246">
        <f>VLOOKUP(B154,'K Değerleri'!$C$3:$G$17,5,0)</f>
        <v>0</v>
      </c>
      <c r="M154" s="25">
        <f t="shared" si="25"/>
        <v>0</v>
      </c>
      <c r="N154" s="26">
        <f t="shared" si="26"/>
        <v>0</v>
      </c>
      <c r="O154" s="27">
        <f t="shared" si="27"/>
        <v>0</v>
      </c>
      <c r="P154" s="36">
        <f>VLOOKUP(B154,'K Değerleri'!$C$3:$E$35,3,0)</f>
        <v>0</v>
      </c>
      <c r="Q154" s="35">
        <f>VLOOKUP(B154,'K Değerleri'!$C$3:$P$17,VLOOKUP(C154,'K Değerleri'!$E$20:$F$28,2,0),0)</f>
        <v>0</v>
      </c>
      <c r="R154" s="315">
        <f t="shared" si="22"/>
        <v>0</v>
      </c>
      <c r="S154" s="316"/>
      <c r="T154" s="30">
        <f t="shared" si="23"/>
        <v>0</v>
      </c>
    </row>
    <row r="155" spans="2:20" s="77" customFormat="1" ht="18" customHeight="1" thickBot="1">
      <c r="B155" s="89"/>
      <c r="C155" s="90"/>
      <c r="D155" s="90"/>
      <c r="E155" s="90"/>
      <c r="F155" s="90"/>
      <c r="G155" s="90"/>
      <c r="H155" s="90"/>
      <c r="I155" s="91"/>
      <c r="J155" s="92"/>
      <c r="K155" s="92"/>
      <c r="L155" s="93" t="s">
        <v>14</v>
      </c>
      <c r="M155" s="251">
        <f>SUM(M144:M154)</f>
        <v>246.20689655172418</v>
      </c>
      <c r="N155" s="252">
        <f>SUM(N144:N154)</f>
        <v>318.6206896551725</v>
      </c>
      <c r="O155" s="253">
        <f>SUM(O144:O154)</f>
        <v>246.20689655172418</v>
      </c>
      <c r="P155" s="92"/>
      <c r="Q155" s="92"/>
      <c r="R155" s="92"/>
      <c r="S155" s="93" t="s">
        <v>15</v>
      </c>
      <c r="T155" s="94">
        <f>SUM(T144:T154)</f>
        <v>274.04999999999995</v>
      </c>
    </row>
    <row r="156" spans="2:20" s="77" customFormat="1" ht="18" customHeight="1" thickBot="1">
      <c r="B156" s="86" t="s">
        <v>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90"/>
      <c r="M156" s="90"/>
      <c r="N156" s="90"/>
      <c r="O156" s="90"/>
      <c r="P156" s="90"/>
      <c r="Q156" s="90"/>
      <c r="R156" s="90"/>
      <c r="S156" s="90"/>
      <c r="T156" s="109"/>
    </row>
    <row r="157" spans="2:25" s="77" customFormat="1" ht="18" customHeight="1">
      <c r="B157" s="282" t="s">
        <v>17</v>
      </c>
      <c r="C157" s="283"/>
      <c r="D157" s="283"/>
      <c r="E157" s="283"/>
      <c r="F157" s="283"/>
      <c r="G157" s="283" t="s">
        <v>21</v>
      </c>
      <c r="H157" s="283"/>
      <c r="I157" s="311"/>
      <c r="J157" s="301" t="s">
        <v>170</v>
      </c>
      <c r="K157" s="302"/>
      <c r="L157" s="96">
        <v>4</v>
      </c>
      <c r="M157" s="95" t="s">
        <v>23</v>
      </c>
      <c r="N157" s="301" t="s">
        <v>174</v>
      </c>
      <c r="O157" s="302"/>
      <c r="P157" s="76">
        <f>VLOOKUP(Y157,İnsan!$A$8:$D$21,3,0)</f>
        <v>70</v>
      </c>
      <c r="Q157" s="312" t="s">
        <v>26</v>
      </c>
      <c r="R157" s="313"/>
      <c r="S157" s="313"/>
      <c r="T157" s="99">
        <f>+L157*P157</f>
        <v>280</v>
      </c>
      <c r="Y157" s="77">
        <v>4</v>
      </c>
    </row>
    <row r="158" spans="2:20" s="77" customFormat="1" ht="18" customHeight="1">
      <c r="B158" s="274" t="s">
        <v>18</v>
      </c>
      <c r="C158" s="275"/>
      <c r="D158" s="275"/>
      <c r="E158" s="275"/>
      <c r="F158" s="275"/>
      <c r="G158" s="275" t="s">
        <v>22</v>
      </c>
      <c r="H158" s="275"/>
      <c r="I158" s="314"/>
      <c r="J158" s="278" t="s">
        <v>173</v>
      </c>
      <c r="K158" s="279" t="s">
        <v>171</v>
      </c>
      <c r="L158" s="8">
        <f>40*50</f>
        <v>2000</v>
      </c>
      <c r="M158" s="83" t="s">
        <v>24</v>
      </c>
      <c r="N158" s="79" t="s">
        <v>177</v>
      </c>
      <c r="O158" s="82">
        <v>1</v>
      </c>
      <c r="P158" s="78" t="s">
        <v>27</v>
      </c>
      <c r="Q158" s="307" t="s">
        <v>176</v>
      </c>
      <c r="R158" s="279"/>
      <c r="S158" s="249">
        <v>0.25</v>
      </c>
      <c r="T158" s="101">
        <f>+L158*O158*S158*0.86</f>
        <v>430</v>
      </c>
    </row>
    <row r="159" spans="2:20" s="77" customFormat="1" ht="18" customHeight="1">
      <c r="B159" s="274" t="s">
        <v>19</v>
      </c>
      <c r="C159" s="275"/>
      <c r="D159" s="275"/>
      <c r="E159" s="275"/>
      <c r="F159" s="275"/>
      <c r="G159" s="308" t="s">
        <v>364</v>
      </c>
      <c r="H159" s="308"/>
      <c r="I159" s="309"/>
      <c r="J159" s="278" t="s">
        <v>172</v>
      </c>
      <c r="K159" s="279"/>
      <c r="L159" s="104">
        <v>150</v>
      </c>
      <c r="M159" s="103" t="s">
        <v>25</v>
      </c>
      <c r="N159" s="79" t="s">
        <v>178</v>
      </c>
      <c r="O159" s="87"/>
      <c r="P159" s="81">
        <v>0.1</v>
      </c>
      <c r="Q159" s="100" t="s">
        <v>179</v>
      </c>
      <c r="R159" s="80"/>
      <c r="S159" s="105">
        <f>+J137-K137</f>
        <v>13</v>
      </c>
      <c r="T159" s="101">
        <f>+L159*P159*S159*0.3</f>
        <v>58.5</v>
      </c>
    </row>
    <row r="160" spans="2:20" s="77" customFormat="1" ht="18" customHeight="1" thickBot="1">
      <c r="B160" s="294" t="s">
        <v>20</v>
      </c>
      <c r="C160" s="295"/>
      <c r="D160" s="295"/>
      <c r="E160" s="295"/>
      <c r="F160" s="305"/>
      <c r="G160" s="295" t="s">
        <v>361</v>
      </c>
      <c r="H160" s="295"/>
      <c r="I160" s="306"/>
      <c r="J160" s="296" t="s">
        <v>175</v>
      </c>
      <c r="K160" s="297"/>
      <c r="L160" s="10">
        <v>250</v>
      </c>
      <c r="M160" s="106" t="s">
        <v>24</v>
      </c>
      <c r="N160" s="79" t="s">
        <v>177</v>
      </c>
      <c r="O160" s="82">
        <v>1</v>
      </c>
      <c r="P160" s="78" t="s">
        <v>27</v>
      </c>
      <c r="Q160" s="307" t="s">
        <v>176</v>
      </c>
      <c r="R160" s="279"/>
      <c r="S160" s="249">
        <v>1</v>
      </c>
      <c r="T160" s="107">
        <f>+L160*O160*S160*0.86</f>
        <v>215</v>
      </c>
    </row>
    <row r="161" spans="2:20" s="77" customFormat="1" ht="18" customHeight="1" thickBot="1">
      <c r="B161" s="89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233"/>
      <c r="O161" s="234"/>
      <c r="P161" s="92"/>
      <c r="Q161" s="92"/>
      <c r="R161" s="92"/>
      <c r="S161" s="93" t="s">
        <v>28</v>
      </c>
      <c r="T161" s="94">
        <f>SUM(T157:T160)</f>
        <v>983.5</v>
      </c>
    </row>
    <row r="162" spans="2:20" s="77" customFormat="1" ht="18" customHeight="1" thickBot="1">
      <c r="B162" s="86" t="s">
        <v>29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90"/>
      <c r="M162" s="90"/>
      <c r="N162" s="90"/>
      <c r="O162" s="90"/>
      <c r="P162" s="90"/>
      <c r="Q162" s="90"/>
      <c r="R162" s="90"/>
      <c r="S162" s="90"/>
      <c r="T162" s="109"/>
    </row>
    <row r="163" spans="2:20" s="77" customFormat="1" ht="18" customHeight="1">
      <c r="B163" s="282" t="s">
        <v>30</v>
      </c>
      <c r="C163" s="283"/>
      <c r="D163" s="283"/>
      <c r="E163" s="283"/>
      <c r="F163" s="283"/>
      <c r="G163" s="283" t="s">
        <v>21</v>
      </c>
      <c r="H163" s="283"/>
      <c r="I163" s="311"/>
      <c r="J163" s="301" t="s">
        <v>170</v>
      </c>
      <c r="K163" s="302"/>
      <c r="L163" s="76">
        <f>+L157</f>
        <v>4</v>
      </c>
      <c r="M163" s="95" t="s">
        <v>23</v>
      </c>
      <c r="N163" s="301" t="s">
        <v>174</v>
      </c>
      <c r="O163" s="302"/>
      <c r="P163" s="76">
        <f>VLOOKUP(Y157,İnsan!$A$8:$D$21,4,0)</f>
        <v>60</v>
      </c>
      <c r="Q163" s="312" t="s">
        <v>33</v>
      </c>
      <c r="R163" s="313"/>
      <c r="S163" s="313"/>
      <c r="T163" s="99">
        <f>+L163*P163</f>
        <v>240</v>
      </c>
    </row>
    <row r="164" spans="2:20" s="77" customFormat="1" ht="18" customHeight="1">
      <c r="B164" s="274" t="s">
        <v>31</v>
      </c>
      <c r="C164" s="275"/>
      <c r="D164" s="275"/>
      <c r="E164" s="275"/>
      <c r="F164" s="275"/>
      <c r="G164" s="308" t="s">
        <v>365</v>
      </c>
      <c r="H164" s="308"/>
      <c r="I164" s="309"/>
      <c r="J164" s="278" t="s">
        <v>172</v>
      </c>
      <c r="K164" s="279"/>
      <c r="L164" s="102">
        <f>+L159</f>
        <v>150</v>
      </c>
      <c r="M164" s="103" t="s">
        <v>25</v>
      </c>
      <c r="N164" s="79" t="s">
        <v>178</v>
      </c>
      <c r="O164" s="87"/>
      <c r="P164" s="250">
        <f>+P159</f>
        <v>0.1</v>
      </c>
      <c r="Q164" s="310">
        <f>+L140</f>
        <v>4.5</v>
      </c>
      <c r="R164" s="279"/>
      <c r="S164" s="128" t="s">
        <v>368</v>
      </c>
      <c r="T164" s="101">
        <f>+L164*P164*Q164*0.7</f>
        <v>47.25</v>
      </c>
    </row>
    <row r="165" spans="2:20" s="77" customFormat="1" ht="18" customHeight="1" thickBot="1">
      <c r="B165" s="294" t="s">
        <v>32</v>
      </c>
      <c r="C165" s="295"/>
      <c r="D165" s="295"/>
      <c r="E165" s="295"/>
      <c r="F165" s="305"/>
      <c r="G165" s="295" t="s">
        <v>361</v>
      </c>
      <c r="H165" s="295"/>
      <c r="I165" s="306"/>
      <c r="J165" s="296" t="s">
        <v>373</v>
      </c>
      <c r="K165" s="297"/>
      <c r="L165" s="10"/>
      <c r="M165" s="106" t="s">
        <v>24</v>
      </c>
      <c r="N165" s="79" t="s">
        <v>177</v>
      </c>
      <c r="O165" s="82">
        <v>1</v>
      </c>
      <c r="P165" s="78" t="s">
        <v>27</v>
      </c>
      <c r="Q165" s="307" t="s">
        <v>176</v>
      </c>
      <c r="R165" s="279"/>
      <c r="S165" s="249">
        <v>1</v>
      </c>
      <c r="T165" s="107">
        <f>+L165*O165*S165*0.86</f>
        <v>0</v>
      </c>
    </row>
    <row r="166" spans="2:20" s="77" customFormat="1" ht="18" customHeight="1" thickBot="1">
      <c r="B166" s="89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233"/>
      <c r="O166" s="234"/>
      <c r="P166" s="234"/>
      <c r="Q166" s="92"/>
      <c r="R166" s="92"/>
      <c r="S166" s="93" t="s">
        <v>34</v>
      </c>
      <c r="T166" s="94">
        <f>SUM(T163:T165)</f>
        <v>287.25</v>
      </c>
    </row>
    <row r="167" spans="2:20" s="77" customFormat="1" ht="18" customHeight="1" thickBot="1">
      <c r="B167" s="86" t="s">
        <v>35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8"/>
    </row>
    <row r="168" spans="2:20" s="77" customFormat="1" ht="18" customHeight="1">
      <c r="B168" s="282" t="s">
        <v>19</v>
      </c>
      <c r="C168" s="283"/>
      <c r="D168" s="283"/>
      <c r="E168" s="283"/>
      <c r="F168" s="283"/>
      <c r="G168" s="97" t="s">
        <v>366</v>
      </c>
      <c r="H168" s="98"/>
      <c r="I168" s="112"/>
      <c r="J168" s="301" t="s">
        <v>172</v>
      </c>
      <c r="K168" s="302"/>
      <c r="L168" s="113">
        <f>+L159</f>
        <v>150</v>
      </c>
      <c r="M168" s="114" t="s">
        <v>25</v>
      </c>
      <c r="N168" s="303" t="s">
        <v>191</v>
      </c>
      <c r="O168" s="304"/>
      <c r="P168" s="114">
        <f>1-P159</f>
        <v>0.9</v>
      </c>
      <c r="Q168" s="301">
        <f>+L137</f>
        <v>13</v>
      </c>
      <c r="R168" s="302"/>
      <c r="S168" s="129" t="s">
        <v>369</v>
      </c>
      <c r="T168" s="99">
        <f>+L168*Q168*0.3*P168</f>
        <v>526.5</v>
      </c>
    </row>
    <row r="169" spans="2:20" s="77" customFormat="1" ht="18" customHeight="1" thickBot="1">
      <c r="B169" s="294" t="s">
        <v>31</v>
      </c>
      <c r="C169" s="295"/>
      <c r="D169" s="295"/>
      <c r="E169" s="295"/>
      <c r="F169" s="295"/>
      <c r="G169" s="85" t="s">
        <v>367</v>
      </c>
      <c r="H169" s="110"/>
      <c r="I169" s="111"/>
      <c r="J169" s="296" t="s">
        <v>172</v>
      </c>
      <c r="K169" s="297"/>
      <c r="L169" s="84">
        <f>+L168</f>
        <v>150</v>
      </c>
      <c r="M169" s="106" t="s">
        <v>25</v>
      </c>
      <c r="N169" s="298" t="s">
        <v>191</v>
      </c>
      <c r="O169" s="299"/>
      <c r="P169" s="106">
        <f>+P168</f>
        <v>0.9</v>
      </c>
      <c r="Q169" s="300">
        <f>+L140</f>
        <v>4.5</v>
      </c>
      <c r="R169" s="297"/>
      <c r="S169" s="130" t="s">
        <v>368</v>
      </c>
      <c r="T169" s="107">
        <f>+L169*Q169*0.7*P169</f>
        <v>425.24999999999994</v>
      </c>
    </row>
    <row r="170" spans="2:20" s="77" customFormat="1" ht="18" customHeight="1" thickBot="1">
      <c r="B170" s="108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91"/>
      <c r="O170" s="92"/>
      <c r="P170" s="92"/>
      <c r="Q170" s="92"/>
      <c r="R170" s="92"/>
      <c r="S170" s="115" t="s">
        <v>36</v>
      </c>
      <c r="T170" s="116">
        <f>SUM(T168:T169)</f>
        <v>951.75</v>
      </c>
    </row>
    <row r="171" spans="2:20" s="77" customFormat="1" ht="18" customHeight="1">
      <c r="B171" s="108" t="s">
        <v>37</v>
      </c>
      <c r="C171" s="87"/>
      <c r="D171" s="290" t="s">
        <v>39</v>
      </c>
      <c r="E171" s="293" t="s">
        <v>40</v>
      </c>
      <c r="F171" s="293"/>
      <c r="G171" s="293"/>
      <c r="H171" s="293"/>
      <c r="I171" s="117"/>
      <c r="J171" s="87" t="s">
        <v>37</v>
      </c>
      <c r="K171" s="290" t="s">
        <v>39</v>
      </c>
      <c r="L171" s="293">
        <f>MAX(M155:O155)+T155+T161+T168</f>
        <v>2102.6706896551723</v>
      </c>
      <c r="M171" s="293"/>
      <c r="N171" s="293"/>
      <c r="O171" s="293"/>
      <c r="P171" s="293"/>
      <c r="Q171" s="293"/>
      <c r="R171" s="290" t="s">
        <v>39</v>
      </c>
      <c r="S171" s="290" t="s">
        <v>42</v>
      </c>
      <c r="T171" s="291">
        <f>+L171/L172</f>
        <v>0.6292273790366062</v>
      </c>
    </row>
    <row r="172" spans="2:20" s="77" customFormat="1" ht="18" customHeight="1">
      <c r="B172" s="108" t="s">
        <v>38</v>
      </c>
      <c r="C172" s="87"/>
      <c r="D172" s="290"/>
      <c r="E172" s="292" t="s">
        <v>41</v>
      </c>
      <c r="F172" s="292"/>
      <c r="G172" s="292"/>
      <c r="H172" s="292"/>
      <c r="I172" s="117"/>
      <c r="J172" s="87" t="s">
        <v>38</v>
      </c>
      <c r="K172" s="290"/>
      <c r="L172" s="292">
        <f>+L171+T166+T170</f>
        <v>3341.6706896551723</v>
      </c>
      <c r="M172" s="292"/>
      <c r="N172" s="292"/>
      <c r="O172" s="292"/>
      <c r="P172" s="292"/>
      <c r="Q172" s="292"/>
      <c r="R172" s="290"/>
      <c r="S172" s="290"/>
      <c r="T172" s="291"/>
    </row>
    <row r="173" spans="2:20" s="77" customFormat="1" ht="18" customHeight="1" thickBot="1">
      <c r="B173" s="108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8"/>
    </row>
    <row r="174" spans="2:20" s="77" customFormat="1" ht="18" customHeight="1">
      <c r="B174" s="89"/>
      <c r="C174" s="118" t="s">
        <v>193</v>
      </c>
      <c r="D174" s="119"/>
      <c r="E174" s="119"/>
      <c r="F174" s="120"/>
      <c r="G174" s="121">
        <v>0.3333333333333333</v>
      </c>
      <c r="H174" s="122">
        <v>0.5</v>
      </c>
      <c r="I174" s="123">
        <v>0.6666666666666666</v>
      </c>
      <c r="J174" s="90"/>
      <c r="K174" s="235" t="s">
        <v>193</v>
      </c>
      <c r="L174" s="230"/>
      <c r="M174" s="236"/>
      <c r="N174" s="237">
        <v>0.3333333333333333</v>
      </c>
      <c r="O174" s="238">
        <v>0.5</v>
      </c>
      <c r="P174" s="239">
        <v>0.6666666666666666</v>
      </c>
      <c r="Q174" s="90"/>
      <c r="R174" s="90"/>
      <c r="S174" s="90"/>
      <c r="T174" s="109"/>
    </row>
    <row r="175" spans="2:20" s="77" customFormat="1" ht="18" customHeight="1" thickBot="1">
      <c r="B175" s="89"/>
      <c r="C175" s="284" t="s">
        <v>192</v>
      </c>
      <c r="D175" s="285"/>
      <c r="E175" s="285"/>
      <c r="F175" s="286"/>
      <c r="G175" s="124">
        <f>+M155+T155+T161+T166+T170</f>
        <v>2742.756896551724</v>
      </c>
      <c r="H175" s="125">
        <f>+N155+T155+T161+T166+T170</f>
        <v>2815.1706896551723</v>
      </c>
      <c r="I175" s="126">
        <f>+O155+T155+T161+T166+T170</f>
        <v>2742.756896551724</v>
      </c>
      <c r="J175" s="90"/>
      <c r="K175" s="287" t="s">
        <v>195</v>
      </c>
      <c r="L175" s="288"/>
      <c r="M175" s="289"/>
      <c r="N175" s="240">
        <f>+G175*4</f>
        <v>10971.027586206896</v>
      </c>
      <c r="O175" s="241">
        <f>+H175*4</f>
        <v>11260.68275862069</v>
      </c>
      <c r="P175" s="242">
        <f>+I175*4</f>
        <v>10971.027586206896</v>
      </c>
      <c r="Q175" s="90"/>
      <c r="R175" s="90"/>
      <c r="S175" s="90"/>
      <c r="T175" s="109"/>
    </row>
    <row r="176" spans="2:20" s="77" customFormat="1" ht="16.5" customHeight="1" thickBot="1">
      <c r="B176" s="173"/>
      <c r="C176" s="165"/>
      <c r="D176" s="165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66"/>
    </row>
    <row r="177" spans="2:20" ht="37.5" customHeight="1">
      <c r="B177" s="267" t="s">
        <v>413</v>
      </c>
      <c r="C177" s="267"/>
      <c r="D177" s="267"/>
      <c r="E177" s="267"/>
      <c r="F177" s="267"/>
      <c r="G177" s="267"/>
      <c r="H177" s="267"/>
      <c r="I177" s="267"/>
      <c r="J177" s="267"/>
      <c r="K177" s="267"/>
      <c r="L177" s="267"/>
      <c r="M177" s="267"/>
      <c r="N177" s="267"/>
      <c r="O177" s="267"/>
      <c r="P177" s="267"/>
      <c r="Q177" s="267"/>
      <c r="R177" s="267"/>
      <c r="S177" s="267"/>
      <c r="T177" s="267"/>
    </row>
    <row r="178" ht="6.75" customHeight="1" thickBot="1"/>
    <row r="179" spans="2:20" s="77" customFormat="1" ht="16.5" customHeight="1">
      <c r="B179" s="282" t="s">
        <v>386</v>
      </c>
      <c r="C179" s="283"/>
      <c r="D179" s="283"/>
      <c r="E179" s="324" t="s">
        <v>414</v>
      </c>
      <c r="F179" s="324"/>
      <c r="G179" s="325"/>
      <c r="H179" s="344" t="s">
        <v>181</v>
      </c>
      <c r="I179" s="158" t="s">
        <v>13</v>
      </c>
      <c r="J179" s="154" t="s">
        <v>390</v>
      </c>
      <c r="K179" s="228" t="s">
        <v>391</v>
      </c>
      <c r="L179" s="154" t="s">
        <v>179</v>
      </c>
      <c r="M179" s="155" t="s">
        <v>188</v>
      </c>
      <c r="N179" s="133" t="s">
        <v>190</v>
      </c>
      <c r="O179" s="162">
        <v>2</v>
      </c>
      <c r="P179" s="163"/>
      <c r="Q179" s="229"/>
      <c r="R179" s="230"/>
      <c r="S179" s="160"/>
      <c r="T179" s="161"/>
    </row>
    <row r="180" spans="2:25" s="77" customFormat="1" ht="16.5" customHeight="1" thickBot="1">
      <c r="B180" s="274" t="s">
        <v>385</v>
      </c>
      <c r="C180" s="275"/>
      <c r="D180" s="275"/>
      <c r="E180" s="276" t="str">
        <f>VLOOKUP($Y$4,'Güneş Şiddeti'!$B$112:$C$123,2,0)</f>
        <v>Temmuz</v>
      </c>
      <c r="F180" s="276"/>
      <c r="G180" s="277"/>
      <c r="H180" s="345"/>
      <c r="I180" s="80" t="s">
        <v>387</v>
      </c>
      <c r="J180" s="81">
        <f>VLOOKUP(E182,'Dış Hava'!$B$6:$S$60,10,0)</f>
        <v>-6</v>
      </c>
      <c r="K180" s="82">
        <v>22</v>
      </c>
      <c r="L180" s="81">
        <f>-J180+K180</f>
        <v>28</v>
      </c>
      <c r="M180" s="83"/>
      <c r="N180" s="79" t="s">
        <v>184</v>
      </c>
      <c r="O180" s="254">
        <f ca="1">TODAY()</f>
        <v>43479</v>
      </c>
      <c r="P180" s="164"/>
      <c r="Q180" s="89"/>
      <c r="R180" s="90"/>
      <c r="S180" s="326"/>
      <c r="T180" s="327"/>
      <c r="Y180" s="77">
        <v>7</v>
      </c>
    </row>
    <row r="181" spans="2:25" s="77" customFormat="1" ht="16.5" customHeight="1">
      <c r="B181" s="274" t="s">
        <v>187</v>
      </c>
      <c r="C181" s="275"/>
      <c r="D181" s="275"/>
      <c r="E181" s="324" t="s">
        <v>415</v>
      </c>
      <c r="F181" s="324"/>
      <c r="G181" s="325"/>
      <c r="H181" s="345"/>
      <c r="I181" s="80" t="s">
        <v>388</v>
      </c>
      <c r="J181" s="81">
        <f>VLOOKUP(E182,'Dış Hava'!$B$6:$S$60,11,0)</f>
        <v>37</v>
      </c>
      <c r="K181" s="82">
        <v>24</v>
      </c>
      <c r="L181" s="81">
        <f>+J181-K181</f>
        <v>13</v>
      </c>
      <c r="M181" s="156"/>
      <c r="N181" s="79" t="s">
        <v>185</v>
      </c>
      <c r="O181" s="268" t="s">
        <v>414</v>
      </c>
      <c r="P181" s="269"/>
      <c r="Q181" s="89"/>
      <c r="R181" s="90"/>
      <c r="S181" s="326"/>
      <c r="T181" s="327"/>
      <c r="Y181" s="77">
        <v>13</v>
      </c>
    </row>
    <row r="182" spans="2:20" s="77" customFormat="1" ht="16.5" customHeight="1">
      <c r="B182" s="274" t="s">
        <v>0</v>
      </c>
      <c r="C182" s="275"/>
      <c r="D182" s="275"/>
      <c r="E182" s="276" t="str">
        <f>VLOOKUP($Y$5,'Dış Hava'!$A$6:$B$60,2,0)</f>
        <v>Bursa</v>
      </c>
      <c r="F182" s="276"/>
      <c r="G182" s="277"/>
      <c r="H182" s="345"/>
      <c r="I182" s="80" t="s">
        <v>389</v>
      </c>
      <c r="J182" s="81">
        <f>VLOOKUP(E182,'Dış Hava'!$B$6:$S$60,13,0)</f>
        <v>25</v>
      </c>
      <c r="K182" s="82">
        <v>18.5</v>
      </c>
      <c r="L182" s="81">
        <f>+J182-K182</f>
        <v>6.5</v>
      </c>
      <c r="M182" s="248"/>
      <c r="N182" s="79" t="s">
        <v>411</v>
      </c>
      <c r="O182" s="268" t="s">
        <v>412</v>
      </c>
      <c r="P182" s="269"/>
      <c r="Q182" s="89"/>
      <c r="R182" s="90"/>
      <c r="S182" s="347"/>
      <c r="T182" s="348"/>
    </row>
    <row r="183" spans="2:20" s="77" customFormat="1" ht="16.5" customHeight="1">
      <c r="B183" s="278" t="s">
        <v>1</v>
      </c>
      <c r="C183" s="279"/>
      <c r="D183" s="280"/>
      <c r="E183" s="281"/>
      <c r="F183" s="78" t="s">
        <v>2</v>
      </c>
      <c r="G183" s="258"/>
      <c r="H183" s="345"/>
      <c r="I183" s="80" t="s">
        <v>393</v>
      </c>
      <c r="J183" s="247">
        <f>VLOOKUP(E182,'Dış Hava'!$B$6:$S$60,15,0)/100</f>
        <v>0.38</v>
      </c>
      <c r="K183" s="153">
        <v>0.5</v>
      </c>
      <c r="L183" s="152" t="s">
        <v>392</v>
      </c>
      <c r="M183" s="83"/>
      <c r="N183" s="79" t="s">
        <v>362</v>
      </c>
      <c r="O183" s="270" t="s">
        <v>410</v>
      </c>
      <c r="P183" s="271"/>
      <c r="Q183" s="333" t="s">
        <v>372</v>
      </c>
      <c r="R183" s="334"/>
      <c r="S183" s="334"/>
      <c r="T183" s="335"/>
    </row>
    <row r="184" spans="2:20" s="77" customFormat="1" ht="16.5" customHeight="1" thickBot="1">
      <c r="B184" s="179" t="s">
        <v>186</v>
      </c>
      <c r="C184" s="84"/>
      <c r="D184" s="328" t="s">
        <v>420</v>
      </c>
      <c r="E184" s="329"/>
      <c r="F184" s="329"/>
      <c r="G184" s="330"/>
      <c r="H184" s="346"/>
      <c r="I184" s="159" t="s">
        <v>189</v>
      </c>
      <c r="J184" s="131">
        <f>VLOOKUP(E182,'Dış Hava'!$B$6:$S$60,16,0)</f>
        <v>15</v>
      </c>
      <c r="K184" s="231">
        <v>10.5</v>
      </c>
      <c r="L184" s="157">
        <f>+J184-K184</f>
        <v>4.5</v>
      </c>
      <c r="M184" s="106"/>
      <c r="N184" s="132" t="s">
        <v>180</v>
      </c>
      <c r="O184" s="272" t="s">
        <v>410</v>
      </c>
      <c r="P184" s="273"/>
      <c r="Q184" s="336"/>
      <c r="R184" s="337"/>
      <c r="S184" s="337"/>
      <c r="T184" s="338"/>
    </row>
    <row r="185" spans="2:20" s="77" customFormat="1" ht="18" customHeight="1" thickBot="1">
      <c r="B185" s="232" t="s">
        <v>3</v>
      </c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109"/>
    </row>
    <row r="186" spans="2:20" s="77" customFormat="1" ht="18" customHeight="1" thickBot="1">
      <c r="B186" s="339" t="s">
        <v>183</v>
      </c>
      <c r="C186" s="341" t="s">
        <v>4</v>
      </c>
      <c r="D186" s="341" t="s">
        <v>182</v>
      </c>
      <c r="E186" s="341" t="s">
        <v>5</v>
      </c>
      <c r="F186" s="317" t="s">
        <v>8</v>
      </c>
      <c r="G186" s="317" t="s">
        <v>9</v>
      </c>
      <c r="H186" s="319" t="s">
        <v>10</v>
      </c>
      <c r="I186" s="321" t="s">
        <v>11</v>
      </c>
      <c r="J186" s="322"/>
      <c r="K186" s="322"/>
      <c r="L186" s="322"/>
      <c r="M186" s="322"/>
      <c r="N186" s="322"/>
      <c r="O186" s="323"/>
      <c r="P186" s="321" t="s">
        <v>12</v>
      </c>
      <c r="Q186" s="322"/>
      <c r="R186" s="322"/>
      <c r="S186" s="322"/>
      <c r="T186" s="323"/>
    </row>
    <row r="187" spans="2:20" s="77" customFormat="1" ht="39.75" customHeight="1" thickBot="1">
      <c r="B187" s="340"/>
      <c r="C187" s="342"/>
      <c r="D187" s="343"/>
      <c r="E187" s="342"/>
      <c r="F187" s="318"/>
      <c r="G187" s="318"/>
      <c r="H187" s="320"/>
      <c r="I187" s="13" t="s">
        <v>168</v>
      </c>
      <c r="J187" s="14" t="s">
        <v>162</v>
      </c>
      <c r="K187" s="15" t="s">
        <v>163</v>
      </c>
      <c r="L187" s="16" t="s">
        <v>167</v>
      </c>
      <c r="M187" s="13" t="s">
        <v>164</v>
      </c>
      <c r="N187" s="14" t="s">
        <v>165</v>
      </c>
      <c r="O187" s="15" t="s">
        <v>166</v>
      </c>
      <c r="P187" s="17" t="s">
        <v>7</v>
      </c>
      <c r="Q187" s="127" t="s">
        <v>363</v>
      </c>
      <c r="R187" s="349" t="s">
        <v>48</v>
      </c>
      <c r="S187" s="350"/>
      <c r="T187" s="18" t="s">
        <v>6</v>
      </c>
    </row>
    <row r="188" spans="2:20" s="77" customFormat="1" ht="18" customHeight="1">
      <c r="B188" s="167" t="s">
        <v>396</v>
      </c>
      <c r="C188" s="168" t="s">
        <v>43</v>
      </c>
      <c r="D188" s="96">
        <f>3.5*3</f>
        <v>10.5</v>
      </c>
      <c r="E188" s="96">
        <v>1</v>
      </c>
      <c r="F188" s="169">
        <f aca="true" t="shared" si="28" ref="F188:F198">+D188*E188</f>
        <v>10.5</v>
      </c>
      <c r="G188" s="96"/>
      <c r="H188" s="170">
        <f>+F188-G188</f>
        <v>10.5</v>
      </c>
      <c r="I188" s="243">
        <f>IF(B188="Dp",VLOOKUP(C188,'Güneş Şiddeti'!$C$126:$P$134,4,0),0)</f>
        <v>29.31034482758621</v>
      </c>
      <c r="J188" s="244">
        <f>IF(B188="Dp",VLOOKUP(C188,'Güneş Şiddeti'!$C$126:$P$134,8,0),0)</f>
        <v>37.931034482758626</v>
      </c>
      <c r="K188" s="245">
        <f>IF(B188="Dp",VLOOKUP(C188,'Güneş Şiddeti'!$C$126:$P$134,12,0),0)</f>
        <v>29.31034482758621</v>
      </c>
      <c r="L188" s="246">
        <f>VLOOKUP(B188,'K Değerleri'!$C$3:$G$17,5,0)</f>
        <v>0.8</v>
      </c>
      <c r="M188" s="22">
        <f>+H188*I188*L188</f>
        <v>246.20689655172418</v>
      </c>
      <c r="N188" s="23">
        <f>+H188*J188*L188</f>
        <v>318.6206896551725</v>
      </c>
      <c r="O188" s="24">
        <f>+H188*K188*L188</f>
        <v>246.20689655172418</v>
      </c>
      <c r="P188" s="34">
        <f>VLOOKUP(B188,'K Değerleri'!$C$3:$E$35,3,0)</f>
        <v>2.9</v>
      </c>
      <c r="Q188" s="35">
        <f>VLOOKUP(B188,'K Değerleri'!$C$3:$P$17,VLOOKUP(C188,'K Değerleri'!$E$20:$F$28,2,0),0)</f>
        <v>9</v>
      </c>
      <c r="R188" s="331">
        <f>+P188*Q188</f>
        <v>26.099999999999998</v>
      </c>
      <c r="S188" s="332"/>
      <c r="T188" s="28">
        <f>+R188*H188</f>
        <v>274.04999999999995</v>
      </c>
    </row>
    <row r="189" spans="2:20" s="77" customFormat="1" ht="18" customHeight="1">
      <c r="B189" s="32" t="s">
        <v>132</v>
      </c>
      <c r="C189" s="75" t="s">
        <v>43</v>
      </c>
      <c r="D189" s="8">
        <v>40</v>
      </c>
      <c r="E189" s="8">
        <v>1</v>
      </c>
      <c r="F189" s="19">
        <f t="shared" si="28"/>
        <v>40</v>
      </c>
      <c r="G189" s="9"/>
      <c r="H189" s="171">
        <f>+F189-G189</f>
        <v>40</v>
      </c>
      <c r="I189" s="243">
        <f>IF(B189="Dp",VLOOKUP(C189,'Güneş Şiddeti'!$C$126:$P$134,4,0),0)</f>
        <v>0</v>
      </c>
      <c r="J189" s="244">
        <f>IF(B189="Dp",VLOOKUP(C189,'Güneş Şiddeti'!$C$126:$P$134,8,0),0)</f>
        <v>0</v>
      </c>
      <c r="K189" s="245">
        <f>IF(B189="Dp",VLOOKUP(C189,'Güneş Şiddeti'!$C$126:$P$134,12,0),0)</f>
        <v>0</v>
      </c>
      <c r="L189" s="246">
        <f>VLOOKUP(B189,'K Değerleri'!$C$3:$G$17,5,0)</f>
        <v>1</v>
      </c>
      <c r="M189" s="25">
        <f>+H189*I189*L189</f>
        <v>0</v>
      </c>
      <c r="N189" s="26">
        <f>+H189*J189*L189</f>
        <v>0</v>
      </c>
      <c r="O189" s="27">
        <f>+H189*K189*L189</f>
        <v>0</v>
      </c>
      <c r="P189" s="36">
        <f>VLOOKUP(B189,'K Değerleri'!$C$3:$E$35,3,0)</f>
        <v>0.37</v>
      </c>
      <c r="Q189" s="35">
        <f>VLOOKUP(B189,'K Değerleri'!$C$3:$P$17,VLOOKUP(C189,'K Değerleri'!$E$20:$F$28,2,0),0)</f>
        <v>20</v>
      </c>
      <c r="R189" s="315">
        <f>+P189*Q189</f>
        <v>7.4</v>
      </c>
      <c r="S189" s="316"/>
      <c r="T189" s="29">
        <f>+R189*H189</f>
        <v>296</v>
      </c>
    </row>
    <row r="190" spans="2:20" s="77" customFormat="1" ht="18" customHeight="1">
      <c r="B190" s="32"/>
      <c r="C190" s="75"/>
      <c r="D190" s="8"/>
      <c r="E190" s="8"/>
      <c r="F190" s="19">
        <f t="shared" si="28"/>
        <v>0</v>
      </c>
      <c r="G190" s="9"/>
      <c r="H190" s="171">
        <f>+F190-G190</f>
        <v>0</v>
      </c>
      <c r="I190" s="243">
        <f>IF(B190="Dp",VLOOKUP(C190,'Güneş Şiddeti'!$C$126:$P$134,4,0),0)</f>
        <v>0</v>
      </c>
      <c r="J190" s="244">
        <f>IF(B190="Dp",VLOOKUP(C190,'Güneş Şiddeti'!$C$126:$P$134,8,0),0)</f>
        <v>0</v>
      </c>
      <c r="K190" s="245">
        <f>IF(B190="Dp",VLOOKUP(C190,'Güneş Şiddeti'!$C$126:$P$134,12,0),0)</f>
        <v>0</v>
      </c>
      <c r="L190" s="246">
        <f>VLOOKUP(B190,'K Değerleri'!$C$3:$G$17,5,0)</f>
        <v>0</v>
      </c>
      <c r="M190" s="25">
        <f>+H190*I190*L190</f>
        <v>0</v>
      </c>
      <c r="N190" s="26">
        <f>+H190*J190*L190</f>
        <v>0</v>
      </c>
      <c r="O190" s="27">
        <f>+H190*K190*L190</f>
        <v>0</v>
      </c>
      <c r="P190" s="36">
        <f>VLOOKUP(B190,'K Değerleri'!$C$3:$E$35,3,0)</f>
        <v>0</v>
      </c>
      <c r="Q190" s="35">
        <f>VLOOKUP(B190,'K Değerleri'!$C$3:$P$17,VLOOKUP(C190,'K Değerleri'!$E$20:$F$28,2,0),0)</f>
        <v>0</v>
      </c>
      <c r="R190" s="315">
        <f aca="true" t="shared" si="29" ref="R190:R198">+P190*Q190</f>
        <v>0</v>
      </c>
      <c r="S190" s="316"/>
      <c r="T190" s="29">
        <f aca="true" t="shared" si="30" ref="T190:T198">+R190*H190</f>
        <v>0</v>
      </c>
    </row>
    <row r="191" spans="2:20" s="77" customFormat="1" ht="18" customHeight="1">
      <c r="B191" s="32"/>
      <c r="C191" s="75"/>
      <c r="D191" s="8"/>
      <c r="E191" s="8"/>
      <c r="F191" s="19">
        <f t="shared" si="28"/>
        <v>0</v>
      </c>
      <c r="G191" s="9"/>
      <c r="H191" s="171">
        <f>+F191-G191</f>
        <v>0</v>
      </c>
      <c r="I191" s="243">
        <f>IF(B191="Dp",VLOOKUP(C191,'Güneş Şiddeti'!$C$126:$P$134,4,0),0)</f>
        <v>0</v>
      </c>
      <c r="J191" s="244">
        <f>IF(B191="Dp",VLOOKUP(C191,'Güneş Şiddeti'!$C$126:$P$134,8,0),0)</f>
        <v>0</v>
      </c>
      <c r="K191" s="245">
        <f>IF(B191="Dp",VLOOKUP(C191,'Güneş Şiddeti'!$C$126:$P$134,12,0),0)</f>
        <v>0</v>
      </c>
      <c r="L191" s="246">
        <f>VLOOKUP(B191,'K Değerleri'!$C$3:$G$17,5,0)</f>
        <v>0</v>
      </c>
      <c r="M191" s="25">
        <f>+H191*I191*L191</f>
        <v>0</v>
      </c>
      <c r="N191" s="26">
        <f>+H191*J191*L191</f>
        <v>0</v>
      </c>
      <c r="O191" s="27">
        <f>+H191*K191*L191</f>
        <v>0</v>
      </c>
      <c r="P191" s="36">
        <f>VLOOKUP(B191,'K Değerleri'!$C$3:$E$35,3,0)</f>
        <v>0</v>
      </c>
      <c r="Q191" s="35">
        <f>VLOOKUP(B191,'K Değerleri'!$C$3:$P$17,VLOOKUP(C191,'K Değerleri'!$E$20:$F$28,2,0),0)</f>
        <v>0</v>
      </c>
      <c r="R191" s="315">
        <f t="shared" si="29"/>
        <v>0</v>
      </c>
      <c r="S191" s="316"/>
      <c r="T191" s="29">
        <f t="shared" si="30"/>
        <v>0</v>
      </c>
    </row>
    <row r="192" spans="2:20" s="77" customFormat="1" ht="18" customHeight="1">
      <c r="B192" s="32"/>
      <c r="C192" s="75"/>
      <c r="D192" s="8"/>
      <c r="E192" s="8"/>
      <c r="F192" s="19">
        <f t="shared" si="28"/>
        <v>0</v>
      </c>
      <c r="G192" s="9"/>
      <c r="H192" s="171">
        <f aca="true" t="shared" si="31" ref="H192:H198">+F192-G192</f>
        <v>0</v>
      </c>
      <c r="I192" s="243">
        <f>IF(B192="Dp",VLOOKUP(C192,'Güneş Şiddeti'!$C$126:$P$134,4,0),0)</f>
        <v>0</v>
      </c>
      <c r="J192" s="244">
        <f>IF(B192="Dp",VLOOKUP(C192,'Güneş Şiddeti'!$C$126:$P$134,8,0),0)</f>
        <v>0</v>
      </c>
      <c r="K192" s="245">
        <f>IF(B192="Dp",VLOOKUP(C192,'Güneş Şiddeti'!$C$126:$P$134,12,0),0)</f>
        <v>0</v>
      </c>
      <c r="L192" s="246">
        <f>VLOOKUP(B192,'K Değerleri'!$C$3:$G$17,5,0)</f>
        <v>0</v>
      </c>
      <c r="M192" s="25">
        <f>+H192*I192*L192</f>
        <v>0</v>
      </c>
      <c r="N192" s="26">
        <f>+H192*J192*L192</f>
        <v>0</v>
      </c>
      <c r="O192" s="27">
        <f>+H192*K192*L192</f>
        <v>0</v>
      </c>
      <c r="P192" s="36">
        <f>VLOOKUP(B192,'K Değerleri'!$C$3:$E$35,3,0)</f>
        <v>0</v>
      </c>
      <c r="Q192" s="35">
        <f>VLOOKUP(B192,'K Değerleri'!$C$3:$P$17,VLOOKUP(C192,'K Değerleri'!$E$20:$F$28,2,0),0)</f>
        <v>0</v>
      </c>
      <c r="R192" s="315">
        <f t="shared" si="29"/>
        <v>0</v>
      </c>
      <c r="S192" s="316"/>
      <c r="T192" s="29">
        <f t="shared" si="30"/>
        <v>0</v>
      </c>
    </row>
    <row r="193" spans="2:20" s="77" customFormat="1" ht="18" customHeight="1">
      <c r="B193" s="32"/>
      <c r="C193" s="75"/>
      <c r="D193" s="8"/>
      <c r="E193" s="8"/>
      <c r="F193" s="19">
        <f t="shared" si="28"/>
        <v>0</v>
      </c>
      <c r="G193" s="9"/>
      <c r="H193" s="171">
        <f t="shared" si="31"/>
        <v>0</v>
      </c>
      <c r="I193" s="243">
        <f>IF(B193="Dp",VLOOKUP(C193,'Güneş Şiddeti'!$C$126:$P$134,4,0),0)</f>
        <v>0</v>
      </c>
      <c r="J193" s="244">
        <f>IF(B193="Dp",VLOOKUP(C193,'Güneş Şiddeti'!$C$126:$P$134,8,0),0)</f>
        <v>0</v>
      </c>
      <c r="K193" s="245">
        <f>IF(B193="Dp",VLOOKUP(C193,'Güneş Şiddeti'!$C$126:$P$134,12,0),0)</f>
        <v>0</v>
      </c>
      <c r="L193" s="246">
        <f>VLOOKUP(B193,'K Değerleri'!$C$3:$G$17,5,0)</f>
        <v>0</v>
      </c>
      <c r="M193" s="25">
        <f aca="true" t="shared" si="32" ref="M193:M198">+H193*I193*L193</f>
        <v>0</v>
      </c>
      <c r="N193" s="26">
        <f aca="true" t="shared" si="33" ref="N193:N198">+H193*J193*L193</f>
        <v>0</v>
      </c>
      <c r="O193" s="27">
        <f aca="true" t="shared" si="34" ref="O193:O198">+H193*K193*L193</f>
        <v>0</v>
      </c>
      <c r="P193" s="36">
        <f>VLOOKUP(B193,'K Değerleri'!$C$3:$E$35,3,0)</f>
        <v>0</v>
      </c>
      <c r="Q193" s="35">
        <f>VLOOKUP(B193,'K Değerleri'!$C$3:$P$17,VLOOKUP(C193,'K Değerleri'!$E$20:$F$28,2,0),0)</f>
        <v>0</v>
      </c>
      <c r="R193" s="315">
        <f t="shared" si="29"/>
        <v>0</v>
      </c>
      <c r="S193" s="316"/>
      <c r="T193" s="29">
        <f t="shared" si="30"/>
        <v>0</v>
      </c>
    </row>
    <row r="194" spans="2:20" s="77" customFormat="1" ht="18" customHeight="1">
      <c r="B194" s="32"/>
      <c r="C194" s="75"/>
      <c r="D194" s="8"/>
      <c r="E194" s="8"/>
      <c r="F194" s="19">
        <f t="shared" si="28"/>
        <v>0</v>
      </c>
      <c r="G194" s="9"/>
      <c r="H194" s="171">
        <f t="shared" si="31"/>
        <v>0</v>
      </c>
      <c r="I194" s="243">
        <f>IF(B194="Dp",VLOOKUP(C194,'Güneş Şiddeti'!$C$126:$P$134,4,0),0)</f>
        <v>0</v>
      </c>
      <c r="J194" s="244">
        <f>IF(B194="Dp",VLOOKUP(C194,'Güneş Şiddeti'!$C$126:$P$134,8,0),0)</f>
        <v>0</v>
      </c>
      <c r="K194" s="245">
        <f>IF(B194="Dp",VLOOKUP(C194,'Güneş Şiddeti'!$C$126:$P$134,12,0),0)</f>
        <v>0</v>
      </c>
      <c r="L194" s="246">
        <f>VLOOKUP(B194,'K Değerleri'!$C$3:$G$17,5,0)</f>
        <v>0</v>
      </c>
      <c r="M194" s="25">
        <f t="shared" si="32"/>
        <v>0</v>
      </c>
      <c r="N194" s="26">
        <f t="shared" si="33"/>
        <v>0</v>
      </c>
      <c r="O194" s="27">
        <f t="shared" si="34"/>
        <v>0</v>
      </c>
      <c r="P194" s="36">
        <f>VLOOKUP(B194,'K Değerleri'!$C$3:$E$35,3,0)</f>
        <v>0</v>
      </c>
      <c r="Q194" s="35">
        <f>VLOOKUP(B194,'K Değerleri'!$C$3:$P$17,VLOOKUP(C194,'K Değerleri'!$E$20:$F$28,2,0),0)</f>
        <v>0</v>
      </c>
      <c r="R194" s="315">
        <f t="shared" si="29"/>
        <v>0</v>
      </c>
      <c r="S194" s="316"/>
      <c r="T194" s="29">
        <f t="shared" si="30"/>
        <v>0</v>
      </c>
    </row>
    <row r="195" spans="2:20" s="77" customFormat="1" ht="18" customHeight="1">
      <c r="B195" s="32"/>
      <c r="C195" s="75"/>
      <c r="D195" s="8"/>
      <c r="E195" s="8"/>
      <c r="F195" s="19">
        <f t="shared" si="28"/>
        <v>0</v>
      </c>
      <c r="G195" s="9"/>
      <c r="H195" s="171">
        <f t="shared" si="31"/>
        <v>0</v>
      </c>
      <c r="I195" s="243">
        <f>IF(B195="Dp",VLOOKUP(C195,'Güneş Şiddeti'!$C$126:$P$134,4,0),0)</f>
        <v>0</v>
      </c>
      <c r="J195" s="244">
        <f>IF(B195="Dp",VLOOKUP(C195,'Güneş Şiddeti'!$C$126:$P$134,8,0),0)</f>
        <v>0</v>
      </c>
      <c r="K195" s="245">
        <f>IF(B195="Dp",VLOOKUP(C195,'Güneş Şiddeti'!$C$126:$P$134,12,0),0)</f>
        <v>0</v>
      </c>
      <c r="L195" s="246">
        <f>VLOOKUP(B195,'K Değerleri'!$C$3:$G$17,5,0)</f>
        <v>0</v>
      </c>
      <c r="M195" s="25">
        <f t="shared" si="32"/>
        <v>0</v>
      </c>
      <c r="N195" s="26">
        <f t="shared" si="33"/>
        <v>0</v>
      </c>
      <c r="O195" s="27">
        <f t="shared" si="34"/>
        <v>0</v>
      </c>
      <c r="P195" s="36">
        <f>VLOOKUP(B195,'K Değerleri'!$C$3:$E$35,3,0)</f>
        <v>0</v>
      </c>
      <c r="Q195" s="35">
        <f>VLOOKUP(B195,'K Değerleri'!$C$3:$P$17,VLOOKUP(C195,'K Değerleri'!$E$20:$F$28,2,0),0)</f>
        <v>0</v>
      </c>
      <c r="R195" s="315">
        <f t="shared" si="29"/>
        <v>0</v>
      </c>
      <c r="S195" s="316"/>
      <c r="T195" s="29">
        <f t="shared" si="30"/>
        <v>0</v>
      </c>
    </row>
    <row r="196" spans="2:20" s="77" customFormat="1" ht="18" customHeight="1">
      <c r="B196" s="32"/>
      <c r="C196" s="75"/>
      <c r="D196" s="8"/>
      <c r="E196" s="8"/>
      <c r="F196" s="19">
        <f t="shared" si="28"/>
        <v>0</v>
      </c>
      <c r="G196" s="8"/>
      <c r="H196" s="171">
        <f t="shared" si="31"/>
        <v>0</v>
      </c>
      <c r="I196" s="243">
        <f>IF(B196="Dp",VLOOKUP(C196,'Güneş Şiddeti'!$C$126:$P$134,4,0),0)</f>
        <v>0</v>
      </c>
      <c r="J196" s="244">
        <f>IF(B196="Dp",VLOOKUP(C196,'Güneş Şiddeti'!$C$126:$P$134,8,0),0)</f>
        <v>0</v>
      </c>
      <c r="K196" s="245">
        <f>IF(B196="Dp",VLOOKUP(C196,'Güneş Şiddeti'!$C$126:$P$134,12,0),0)</f>
        <v>0</v>
      </c>
      <c r="L196" s="246">
        <f>VLOOKUP(B196,'K Değerleri'!$C$3:$G$17,5,0)</f>
        <v>0</v>
      </c>
      <c r="M196" s="25">
        <f t="shared" si="32"/>
        <v>0</v>
      </c>
      <c r="N196" s="26">
        <f t="shared" si="33"/>
        <v>0</v>
      </c>
      <c r="O196" s="27">
        <f t="shared" si="34"/>
        <v>0</v>
      </c>
      <c r="P196" s="36">
        <f>VLOOKUP(B196,'K Değerleri'!$C$3:$E$35,3,0)</f>
        <v>0</v>
      </c>
      <c r="Q196" s="35">
        <f>VLOOKUP(B196,'K Değerleri'!$C$3:$P$17,VLOOKUP(C196,'K Değerleri'!$E$20:$F$28,2,0),0)</f>
        <v>0</v>
      </c>
      <c r="R196" s="315">
        <f t="shared" si="29"/>
        <v>0</v>
      </c>
      <c r="S196" s="316"/>
      <c r="T196" s="29">
        <f t="shared" si="30"/>
        <v>0</v>
      </c>
    </row>
    <row r="197" spans="2:20" s="77" customFormat="1" ht="18" customHeight="1">
      <c r="B197" s="32"/>
      <c r="C197" s="75"/>
      <c r="D197" s="8"/>
      <c r="E197" s="8"/>
      <c r="F197" s="19">
        <f t="shared" si="28"/>
        <v>0</v>
      </c>
      <c r="G197" s="8"/>
      <c r="H197" s="171">
        <f t="shared" si="31"/>
        <v>0</v>
      </c>
      <c r="I197" s="243">
        <f>IF(B197="Dp",VLOOKUP(C197,'Güneş Şiddeti'!$C$126:$P$134,4,0),0)</f>
        <v>0</v>
      </c>
      <c r="J197" s="244">
        <f>IF(B197="Dp",VLOOKUP(C197,'Güneş Şiddeti'!$C$126:$P$134,8,0),0)</f>
        <v>0</v>
      </c>
      <c r="K197" s="245">
        <f>IF(B197="Dp",VLOOKUP(C197,'Güneş Şiddeti'!$C$126:$P$134,12,0),0)</f>
        <v>0</v>
      </c>
      <c r="L197" s="246">
        <f>VLOOKUP(B197,'K Değerleri'!$C$3:$G$17,5,0)</f>
        <v>0</v>
      </c>
      <c r="M197" s="25">
        <f t="shared" si="32"/>
        <v>0</v>
      </c>
      <c r="N197" s="26">
        <f t="shared" si="33"/>
        <v>0</v>
      </c>
      <c r="O197" s="27">
        <f t="shared" si="34"/>
        <v>0</v>
      </c>
      <c r="P197" s="36">
        <f>VLOOKUP(B197,'K Değerleri'!$C$3:$E$35,3,0)</f>
        <v>0</v>
      </c>
      <c r="Q197" s="35">
        <f>VLOOKUP(B197,'K Değerleri'!$C$3:$P$17,VLOOKUP(C197,'K Değerleri'!$E$20:$F$28,2,0),0)</f>
        <v>0</v>
      </c>
      <c r="R197" s="315">
        <f t="shared" si="29"/>
        <v>0</v>
      </c>
      <c r="S197" s="316"/>
      <c r="T197" s="29">
        <f t="shared" si="30"/>
        <v>0</v>
      </c>
    </row>
    <row r="198" spans="2:20" s="77" customFormat="1" ht="18" customHeight="1" thickBot="1">
      <c r="B198" s="33"/>
      <c r="C198" s="172"/>
      <c r="D198" s="10"/>
      <c r="E198" s="10"/>
      <c r="F198" s="20">
        <f t="shared" si="28"/>
        <v>0</v>
      </c>
      <c r="G198" s="255"/>
      <c r="H198" s="21">
        <f t="shared" si="31"/>
        <v>0</v>
      </c>
      <c r="I198" s="243">
        <f>IF(B198="Dp",VLOOKUP(C198,'Güneş Şiddeti'!$C$126:$P$134,4,0),0)</f>
        <v>0</v>
      </c>
      <c r="J198" s="244">
        <f>IF(B198="Dp",VLOOKUP(C198,'Güneş Şiddeti'!$C$126:$P$134,8,0),0)</f>
        <v>0</v>
      </c>
      <c r="K198" s="245">
        <f>IF(B198="Dp",VLOOKUP(C198,'Güneş Şiddeti'!$C$126:$P$134,12,0),0)</f>
        <v>0</v>
      </c>
      <c r="L198" s="246">
        <f>VLOOKUP(B198,'K Değerleri'!$C$3:$G$17,5,0)</f>
        <v>0</v>
      </c>
      <c r="M198" s="25">
        <f t="shared" si="32"/>
        <v>0</v>
      </c>
      <c r="N198" s="26">
        <f t="shared" si="33"/>
        <v>0</v>
      </c>
      <c r="O198" s="27">
        <f t="shared" si="34"/>
        <v>0</v>
      </c>
      <c r="P198" s="36">
        <f>VLOOKUP(B198,'K Değerleri'!$C$3:$E$35,3,0)</f>
        <v>0</v>
      </c>
      <c r="Q198" s="35">
        <f>VLOOKUP(B198,'K Değerleri'!$C$3:$P$17,VLOOKUP(C198,'K Değerleri'!$E$20:$F$28,2,0),0)</f>
        <v>0</v>
      </c>
      <c r="R198" s="315">
        <f t="shared" si="29"/>
        <v>0</v>
      </c>
      <c r="S198" s="316"/>
      <c r="T198" s="30">
        <f t="shared" si="30"/>
        <v>0</v>
      </c>
    </row>
    <row r="199" spans="2:20" s="77" customFormat="1" ht="18" customHeight="1" thickBot="1">
      <c r="B199" s="89"/>
      <c r="C199" s="90"/>
      <c r="D199" s="90"/>
      <c r="E199" s="90"/>
      <c r="F199" s="90"/>
      <c r="G199" s="90"/>
      <c r="H199" s="90"/>
      <c r="I199" s="91"/>
      <c r="J199" s="92"/>
      <c r="K199" s="92"/>
      <c r="L199" s="93" t="s">
        <v>14</v>
      </c>
      <c r="M199" s="251">
        <f>SUM(M188:M198)</f>
        <v>246.20689655172418</v>
      </c>
      <c r="N199" s="252">
        <f>SUM(N188:N198)</f>
        <v>318.6206896551725</v>
      </c>
      <c r="O199" s="253">
        <f>SUM(O188:O198)</f>
        <v>246.20689655172418</v>
      </c>
      <c r="P199" s="92"/>
      <c r="Q199" s="92"/>
      <c r="R199" s="92"/>
      <c r="S199" s="93" t="s">
        <v>15</v>
      </c>
      <c r="T199" s="94">
        <f>SUM(T188:T198)</f>
        <v>570.05</v>
      </c>
    </row>
    <row r="200" spans="2:20" s="77" customFormat="1" ht="18" customHeight="1" thickBot="1">
      <c r="B200" s="86" t="s">
        <v>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90"/>
      <c r="M200" s="90"/>
      <c r="N200" s="90"/>
      <c r="O200" s="90"/>
      <c r="P200" s="90"/>
      <c r="Q200" s="90"/>
      <c r="R200" s="90"/>
      <c r="S200" s="90"/>
      <c r="T200" s="109"/>
    </row>
    <row r="201" spans="2:25" s="77" customFormat="1" ht="18" customHeight="1">
      <c r="B201" s="282" t="s">
        <v>17</v>
      </c>
      <c r="C201" s="283"/>
      <c r="D201" s="283"/>
      <c r="E201" s="283"/>
      <c r="F201" s="283"/>
      <c r="G201" s="283" t="s">
        <v>21</v>
      </c>
      <c r="H201" s="283"/>
      <c r="I201" s="311"/>
      <c r="J201" s="301" t="s">
        <v>170</v>
      </c>
      <c r="K201" s="302"/>
      <c r="L201" s="96">
        <v>2</v>
      </c>
      <c r="M201" s="95" t="s">
        <v>23</v>
      </c>
      <c r="N201" s="301" t="s">
        <v>174</v>
      </c>
      <c r="O201" s="302"/>
      <c r="P201" s="76">
        <f>VLOOKUP(Y201,İnsan!$A$8:$D$21,3,0)</f>
        <v>70</v>
      </c>
      <c r="Q201" s="312" t="s">
        <v>26</v>
      </c>
      <c r="R201" s="313"/>
      <c r="S201" s="313"/>
      <c r="T201" s="99">
        <f>+L201*P201</f>
        <v>140</v>
      </c>
      <c r="Y201" s="77">
        <v>4</v>
      </c>
    </row>
    <row r="202" spans="2:20" s="77" customFormat="1" ht="18" customHeight="1">
      <c r="B202" s="274" t="s">
        <v>18</v>
      </c>
      <c r="C202" s="275"/>
      <c r="D202" s="275"/>
      <c r="E202" s="275"/>
      <c r="F202" s="275"/>
      <c r="G202" s="275" t="s">
        <v>22</v>
      </c>
      <c r="H202" s="275"/>
      <c r="I202" s="314"/>
      <c r="J202" s="278" t="s">
        <v>173</v>
      </c>
      <c r="K202" s="279" t="s">
        <v>171</v>
      </c>
      <c r="L202" s="8">
        <f>40*50</f>
        <v>2000</v>
      </c>
      <c r="M202" s="83" t="s">
        <v>24</v>
      </c>
      <c r="N202" s="79" t="s">
        <v>177</v>
      </c>
      <c r="O202" s="82">
        <v>1</v>
      </c>
      <c r="P202" s="78" t="s">
        <v>27</v>
      </c>
      <c r="Q202" s="307" t="s">
        <v>176</v>
      </c>
      <c r="R202" s="279"/>
      <c r="S202" s="249">
        <v>0.25</v>
      </c>
      <c r="T202" s="101">
        <f>+L202*O202*S202*0.86</f>
        <v>430</v>
      </c>
    </row>
    <row r="203" spans="2:20" s="77" customFormat="1" ht="18" customHeight="1">
      <c r="B203" s="274" t="s">
        <v>19</v>
      </c>
      <c r="C203" s="275"/>
      <c r="D203" s="275"/>
      <c r="E203" s="275"/>
      <c r="F203" s="275"/>
      <c r="G203" s="308" t="s">
        <v>364</v>
      </c>
      <c r="H203" s="308"/>
      <c r="I203" s="309"/>
      <c r="J203" s="278" t="s">
        <v>172</v>
      </c>
      <c r="K203" s="279"/>
      <c r="L203" s="104">
        <v>100</v>
      </c>
      <c r="M203" s="103" t="s">
        <v>25</v>
      </c>
      <c r="N203" s="79" t="s">
        <v>178</v>
      </c>
      <c r="O203" s="87"/>
      <c r="P203" s="81">
        <v>0.1</v>
      </c>
      <c r="Q203" s="100" t="s">
        <v>179</v>
      </c>
      <c r="R203" s="80"/>
      <c r="S203" s="105">
        <f>+J181-K181</f>
        <v>13</v>
      </c>
      <c r="T203" s="101">
        <f>+L203*P203*S203*0.3</f>
        <v>39</v>
      </c>
    </row>
    <row r="204" spans="2:20" s="77" customFormat="1" ht="18" customHeight="1" thickBot="1">
      <c r="B204" s="294" t="s">
        <v>20</v>
      </c>
      <c r="C204" s="295"/>
      <c r="D204" s="295"/>
      <c r="E204" s="295"/>
      <c r="F204" s="305"/>
      <c r="G204" s="295" t="s">
        <v>361</v>
      </c>
      <c r="H204" s="295"/>
      <c r="I204" s="306"/>
      <c r="J204" s="296" t="s">
        <v>175</v>
      </c>
      <c r="K204" s="297"/>
      <c r="L204" s="10">
        <v>250</v>
      </c>
      <c r="M204" s="106" t="s">
        <v>24</v>
      </c>
      <c r="N204" s="79" t="s">
        <v>177</v>
      </c>
      <c r="O204" s="82">
        <v>1</v>
      </c>
      <c r="P204" s="78" t="s">
        <v>27</v>
      </c>
      <c r="Q204" s="307" t="s">
        <v>176</v>
      </c>
      <c r="R204" s="279"/>
      <c r="S204" s="249">
        <v>1</v>
      </c>
      <c r="T204" s="107">
        <f>+L204*O204*S204*0.86</f>
        <v>215</v>
      </c>
    </row>
    <row r="205" spans="2:20" s="77" customFormat="1" ht="18" customHeight="1" thickBot="1">
      <c r="B205" s="89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233"/>
      <c r="O205" s="234"/>
      <c r="P205" s="92"/>
      <c r="Q205" s="92"/>
      <c r="R205" s="92"/>
      <c r="S205" s="93" t="s">
        <v>28</v>
      </c>
      <c r="T205" s="94">
        <f>SUM(T201:T204)</f>
        <v>824</v>
      </c>
    </row>
    <row r="206" spans="2:20" s="77" customFormat="1" ht="18" customHeight="1" thickBot="1">
      <c r="B206" s="86" t="s">
        <v>29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90"/>
      <c r="M206" s="90"/>
      <c r="N206" s="90"/>
      <c r="O206" s="90"/>
      <c r="P206" s="90"/>
      <c r="Q206" s="90"/>
      <c r="R206" s="90"/>
      <c r="S206" s="90"/>
      <c r="T206" s="109"/>
    </row>
    <row r="207" spans="2:20" s="77" customFormat="1" ht="18" customHeight="1">
      <c r="B207" s="282" t="s">
        <v>30</v>
      </c>
      <c r="C207" s="283"/>
      <c r="D207" s="283"/>
      <c r="E207" s="283"/>
      <c r="F207" s="283"/>
      <c r="G207" s="283" t="s">
        <v>21</v>
      </c>
      <c r="H207" s="283"/>
      <c r="I207" s="311"/>
      <c r="J207" s="301" t="s">
        <v>170</v>
      </c>
      <c r="K207" s="302"/>
      <c r="L207" s="76">
        <f>+L201</f>
        <v>2</v>
      </c>
      <c r="M207" s="95" t="s">
        <v>23</v>
      </c>
      <c r="N207" s="301" t="s">
        <v>174</v>
      </c>
      <c r="O207" s="302"/>
      <c r="P207" s="76">
        <f>VLOOKUP(Y201,İnsan!$A$8:$D$21,4,0)</f>
        <v>60</v>
      </c>
      <c r="Q207" s="312" t="s">
        <v>33</v>
      </c>
      <c r="R207" s="313"/>
      <c r="S207" s="313"/>
      <c r="T207" s="99">
        <f>+L207*P207</f>
        <v>120</v>
      </c>
    </row>
    <row r="208" spans="2:20" s="77" customFormat="1" ht="18" customHeight="1">
      <c r="B208" s="274" t="s">
        <v>31</v>
      </c>
      <c r="C208" s="275"/>
      <c r="D208" s="275"/>
      <c r="E208" s="275"/>
      <c r="F208" s="275"/>
      <c r="G208" s="308" t="s">
        <v>365</v>
      </c>
      <c r="H208" s="308"/>
      <c r="I208" s="309"/>
      <c r="J208" s="278" t="s">
        <v>172</v>
      </c>
      <c r="K208" s="279"/>
      <c r="L208" s="102">
        <f>+L203</f>
        <v>100</v>
      </c>
      <c r="M208" s="103" t="s">
        <v>25</v>
      </c>
      <c r="N208" s="79" t="s">
        <v>178</v>
      </c>
      <c r="O208" s="87"/>
      <c r="P208" s="250">
        <f>+P203</f>
        <v>0.1</v>
      </c>
      <c r="Q208" s="310">
        <f>+L184</f>
        <v>4.5</v>
      </c>
      <c r="R208" s="279"/>
      <c r="S208" s="128" t="s">
        <v>368</v>
      </c>
      <c r="T208" s="101">
        <f>+L208*P208*Q208*0.7</f>
        <v>31.499999999999996</v>
      </c>
    </row>
    <row r="209" spans="2:20" s="77" customFormat="1" ht="18" customHeight="1" thickBot="1">
      <c r="B209" s="294" t="s">
        <v>32</v>
      </c>
      <c r="C209" s="295"/>
      <c r="D209" s="295"/>
      <c r="E209" s="295"/>
      <c r="F209" s="305"/>
      <c r="G209" s="295" t="s">
        <v>361</v>
      </c>
      <c r="H209" s="295"/>
      <c r="I209" s="306"/>
      <c r="J209" s="296" t="s">
        <v>373</v>
      </c>
      <c r="K209" s="297"/>
      <c r="L209" s="10"/>
      <c r="M209" s="106" t="s">
        <v>24</v>
      </c>
      <c r="N209" s="79" t="s">
        <v>177</v>
      </c>
      <c r="O209" s="82">
        <v>1</v>
      </c>
      <c r="P209" s="78" t="s">
        <v>27</v>
      </c>
      <c r="Q209" s="307" t="s">
        <v>176</v>
      </c>
      <c r="R209" s="279"/>
      <c r="S209" s="249">
        <v>1</v>
      </c>
      <c r="T209" s="107">
        <f>+L209*O209*S209*0.86</f>
        <v>0</v>
      </c>
    </row>
    <row r="210" spans="2:20" s="77" customFormat="1" ht="18" customHeight="1" thickBot="1">
      <c r="B210" s="89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233"/>
      <c r="O210" s="234"/>
      <c r="P210" s="234"/>
      <c r="Q210" s="92"/>
      <c r="R210" s="92"/>
      <c r="S210" s="93" t="s">
        <v>34</v>
      </c>
      <c r="T210" s="94">
        <f>SUM(T207:T209)</f>
        <v>151.5</v>
      </c>
    </row>
    <row r="211" spans="2:20" s="77" customFormat="1" ht="18" customHeight="1" thickBot="1">
      <c r="B211" s="86" t="s">
        <v>35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8"/>
    </row>
    <row r="212" spans="2:20" s="77" customFormat="1" ht="18" customHeight="1">
      <c r="B212" s="282" t="s">
        <v>19</v>
      </c>
      <c r="C212" s="283"/>
      <c r="D212" s="283"/>
      <c r="E212" s="283"/>
      <c r="F212" s="283"/>
      <c r="G212" s="97" t="s">
        <v>366</v>
      </c>
      <c r="H212" s="98"/>
      <c r="I212" s="112"/>
      <c r="J212" s="301" t="s">
        <v>172</v>
      </c>
      <c r="K212" s="302"/>
      <c r="L212" s="113">
        <f>+L203</f>
        <v>100</v>
      </c>
      <c r="M212" s="114" t="s">
        <v>25</v>
      </c>
      <c r="N212" s="303" t="s">
        <v>191</v>
      </c>
      <c r="O212" s="304"/>
      <c r="P212" s="114">
        <f>1-P203</f>
        <v>0.9</v>
      </c>
      <c r="Q212" s="301">
        <f>+L181</f>
        <v>13</v>
      </c>
      <c r="R212" s="302"/>
      <c r="S212" s="129" t="s">
        <v>369</v>
      </c>
      <c r="T212" s="99">
        <f>+L212*Q212*0.3*P212</f>
        <v>351</v>
      </c>
    </row>
    <row r="213" spans="2:20" s="77" customFormat="1" ht="18" customHeight="1" thickBot="1">
      <c r="B213" s="294" t="s">
        <v>31</v>
      </c>
      <c r="C213" s="295"/>
      <c r="D213" s="295"/>
      <c r="E213" s="295"/>
      <c r="F213" s="295"/>
      <c r="G213" s="85" t="s">
        <v>367</v>
      </c>
      <c r="H213" s="110"/>
      <c r="I213" s="111"/>
      <c r="J213" s="296" t="s">
        <v>172</v>
      </c>
      <c r="K213" s="297"/>
      <c r="L213" s="84">
        <f>+L212</f>
        <v>100</v>
      </c>
      <c r="M213" s="106" t="s">
        <v>25</v>
      </c>
      <c r="N213" s="298" t="s">
        <v>191</v>
      </c>
      <c r="O213" s="299"/>
      <c r="P213" s="106">
        <f>+P212</f>
        <v>0.9</v>
      </c>
      <c r="Q213" s="300">
        <f>+L184</f>
        <v>4.5</v>
      </c>
      <c r="R213" s="297"/>
      <c r="S213" s="130" t="s">
        <v>368</v>
      </c>
      <c r="T213" s="107">
        <f>+L213*Q213*0.7*P213</f>
        <v>283.5</v>
      </c>
    </row>
    <row r="214" spans="2:20" s="77" customFormat="1" ht="18" customHeight="1" thickBot="1">
      <c r="B214" s="108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91"/>
      <c r="O214" s="92"/>
      <c r="P214" s="92"/>
      <c r="Q214" s="92"/>
      <c r="R214" s="92"/>
      <c r="S214" s="115" t="s">
        <v>36</v>
      </c>
      <c r="T214" s="116">
        <f>SUM(T212:T213)</f>
        <v>634.5</v>
      </c>
    </row>
    <row r="215" spans="2:20" s="77" customFormat="1" ht="18" customHeight="1">
      <c r="B215" s="108" t="s">
        <v>37</v>
      </c>
      <c r="C215" s="87"/>
      <c r="D215" s="290" t="s">
        <v>39</v>
      </c>
      <c r="E215" s="293" t="s">
        <v>40</v>
      </c>
      <c r="F215" s="293"/>
      <c r="G215" s="293"/>
      <c r="H215" s="293"/>
      <c r="I215" s="117"/>
      <c r="J215" s="87" t="s">
        <v>37</v>
      </c>
      <c r="K215" s="290" t="s">
        <v>39</v>
      </c>
      <c r="L215" s="293">
        <f>MAX(M199:O199)+T199+T205+T212</f>
        <v>2063.6706896551723</v>
      </c>
      <c r="M215" s="293"/>
      <c r="N215" s="293"/>
      <c r="O215" s="293"/>
      <c r="P215" s="293"/>
      <c r="Q215" s="293"/>
      <c r="R215" s="290" t="s">
        <v>39</v>
      </c>
      <c r="S215" s="290" t="s">
        <v>42</v>
      </c>
      <c r="T215" s="291">
        <f>+L215/L216</f>
        <v>0.7241786558519466</v>
      </c>
    </row>
    <row r="216" spans="2:20" s="77" customFormat="1" ht="18" customHeight="1">
      <c r="B216" s="108" t="s">
        <v>38</v>
      </c>
      <c r="C216" s="87"/>
      <c r="D216" s="290"/>
      <c r="E216" s="292" t="s">
        <v>41</v>
      </c>
      <c r="F216" s="292"/>
      <c r="G216" s="292"/>
      <c r="H216" s="292"/>
      <c r="I216" s="117"/>
      <c r="J216" s="87" t="s">
        <v>38</v>
      </c>
      <c r="K216" s="290"/>
      <c r="L216" s="292">
        <f>+L215+T210+T214</f>
        <v>2849.6706896551723</v>
      </c>
      <c r="M216" s="292"/>
      <c r="N216" s="292"/>
      <c r="O216" s="292"/>
      <c r="P216" s="292"/>
      <c r="Q216" s="292"/>
      <c r="R216" s="290"/>
      <c r="S216" s="290"/>
      <c r="T216" s="291"/>
    </row>
    <row r="217" spans="2:20" s="77" customFormat="1" ht="18" customHeight="1" thickBot="1">
      <c r="B217" s="108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8"/>
    </row>
    <row r="218" spans="2:20" s="77" customFormat="1" ht="18" customHeight="1">
      <c r="B218" s="89"/>
      <c r="C218" s="118" t="s">
        <v>193</v>
      </c>
      <c r="D218" s="119"/>
      <c r="E218" s="119"/>
      <c r="F218" s="120"/>
      <c r="G218" s="121">
        <v>0.3333333333333333</v>
      </c>
      <c r="H218" s="122">
        <v>0.5</v>
      </c>
      <c r="I218" s="123">
        <v>0.6666666666666666</v>
      </c>
      <c r="J218" s="90"/>
      <c r="K218" s="235" t="s">
        <v>193</v>
      </c>
      <c r="L218" s="230"/>
      <c r="M218" s="236"/>
      <c r="N218" s="237">
        <v>0.3333333333333333</v>
      </c>
      <c r="O218" s="238">
        <v>0.5</v>
      </c>
      <c r="P218" s="239">
        <v>0.6666666666666666</v>
      </c>
      <c r="Q218" s="90"/>
      <c r="R218" s="90"/>
      <c r="S218" s="90"/>
      <c r="T218" s="109"/>
    </row>
    <row r="219" spans="2:20" s="77" customFormat="1" ht="18" customHeight="1" thickBot="1">
      <c r="B219" s="89"/>
      <c r="C219" s="284" t="s">
        <v>192</v>
      </c>
      <c r="D219" s="285"/>
      <c r="E219" s="285"/>
      <c r="F219" s="286"/>
      <c r="G219" s="124">
        <f>+M199+T199+T205+T210+T214</f>
        <v>2426.256896551724</v>
      </c>
      <c r="H219" s="125">
        <f>+N199+T199+T205+T210+T214</f>
        <v>2498.6706896551723</v>
      </c>
      <c r="I219" s="126">
        <f>+O199+T199+T205+T210+T214</f>
        <v>2426.256896551724</v>
      </c>
      <c r="J219" s="90"/>
      <c r="K219" s="287" t="s">
        <v>195</v>
      </c>
      <c r="L219" s="288"/>
      <c r="M219" s="289"/>
      <c r="N219" s="240">
        <f>+G219*4</f>
        <v>9705.027586206896</v>
      </c>
      <c r="O219" s="241">
        <f>+H219*4</f>
        <v>9994.68275862069</v>
      </c>
      <c r="P219" s="242">
        <f>+I219*4</f>
        <v>9705.027586206896</v>
      </c>
      <c r="Q219" s="90"/>
      <c r="R219" s="90"/>
      <c r="S219" s="90"/>
      <c r="T219" s="109"/>
    </row>
    <row r="220" spans="2:20" s="77" customFormat="1" ht="16.5" customHeight="1" thickBot="1">
      <c r="B220" s="173"/>
      <c r="C220" s="165"/>
      <c r="D220" s="165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66"/>
    </row>
    <row r="221" spans="2:20" ht="37.5" customHeight="1">
      <c r="B221" s="267" t="s">
        <v>413</v>
      </c>
      <c r="C221" s="267"/>
      <c r="D221" s="267"/>
      <c r="E221" s="267"/>
      <c r="F221" s="267"/>
      <c r="G221" s="267"/>
      <c r="H221" s="267"/>
      <c r="I221" s="267"/>
      <c r="J221" s="267"/>
      <c r="K221" s="267"/>
      <c r="L221" s="267"/>
      <c r="M221" s="267"/>
      <c r="N221" s="267"/>
      <c r="O221" s="267"/>
      <c r="P221" s="267"/>
      <c r="Q221" s="267"/>
      <c r="R221" s="267"/>
      <c r="S221" s="267"/>
      <c r="T221" s="267"/>
    </row>
    <row r="222" ht="6.75" customHeight="1" thickBot="1"/>
    <row r="223" spans="2:20" s="77" customFormat="1" ht="16.5" customHeight="1">
      <c r="B223" s="282" t="s">
        <v>386</v>
      </c>
      <c r="C223" s="283"/>
      <c r="D223" s="283"/>
      <c r="E223" s="324" t="s">
        <v>414</v>
      </c>
      <c r="F223" s="324"/>
      <c r="G223" s="325"/>
      <c r="H223" s="344" t="s">
        <v>181</v>
      </c>
      <c r="I223" s="158" t="s">
        <v>13</v>
      </c>
      <c r="J223" s="154" t="s">
        <v>390</v>
      </c>
      <c r="K223" s="228" t="s">
        <v>391</v>
      </c>
      <c r="L223" s="154" t="s">
        <v>179</v>
      </c>
      <c r="M223" s="155" t="s">
        <v>188</v>
      </c>
      <c r="N223" s="133" t="s">
        <v>190</v>
      </c>
      <c r="O223" s="162">
        <v>2</v>
      </c>
      <c r="P223" s="163"/>
      <c r="Q223" s="229"/>
      <c r="R223" s="230"/>
      <c r="S223" s="160"/>
      <c r="T223" s="161"/>
    </row>
    <row r="224" spans="2:25" s="77" customFormat="1" ht="16.5" customHeight="1" thickBot="1">
      <c r="B224" s="274" t="s">
        <v>385</v>
      </c>
      <c r="C224" s="275"/>
      <c r="D224" s="275"/>
      <c r="E224" s="276" t="str">
        <f>VLOOKUP($Y$4,'Güneş Şiddeti'!$B$112:$C$123,2,0)</f>
        <v>Temmuz</v>
      </c>
      <c r="F224" s="276"/>
      <c r="G224" s="277"/>
      <c r="H224" s="345"/>
      <c r="I224" s="80" t="s">
        <v>387</v>
      </c>
      <c r="J224" s="81">
        <f>VLOOKUP(E226,'Dış Hava'!$B$6:$S$60,10,0)</f>
        <v>-6</v>
      </c>
      <c r="K224" s="82">
        <v>22</v>
      </c>
      <c r="L224" s="81">
        <f>-J224+K224</f>
        <v>28</v>
      </c>
      <c r="M224" s="83"/>
      <c r="N224" s="79" t="s">
        <v>184</v>
      </c>
      <c r="O224" s="254">
        <f ca="1">TODAY()</f>
        <v>43479</v>
      </c>
      <c r="P224" s="164"/>
      <c r="Q224" s="89"/>
      <c r="R224" s="90"/>
      <c r="S224" s="326"/>
      <c r="T224" s="327"/>
      <c r="Y224" s="77">
        <v>7</v>
      </c>
    </row>
    <row r="225" spans="2:25" s="77" customFormat="1" ht="16.5" customHeight="1">
      <c r="B225" s="274" t="s">
        <v>187</v>
      </c>
      <c r="C225" s="275"/>
      <c r="D225" s="275"/>
      <c r="E225" s="324" t="s">
        <v>415</v>
      </c>
      <c r="F225" s="324"/>
      <c r="G225" s="325"/>
      <c r="H225" s="345"/>
      <c r="I225" s="80" t="s">
        <v>388</v>
      </c>
      <c r="J225" s="81">
        <f>VLOOKUP(E226,'Dış Hava'!$B$6:$S$60,11,0)</f>
        <v>37</v>
      </c>
      <c r="K225" s="82">
        <v>24</v>
      </c>
      <c r="L225" s="81">
        <f>+J225-K225</f>
        <v>13</v>
      </c>
      <c r="M225" s="156"/>
      <c r="N225" s="79" t="s">
        <v>185</v>
      </c>
      <c r="O225" s="268" t="s">
        <v>414</v>
      </c>
      <c r="P225" s="269"/>
      <c r="Q225" s="89"/>
      <c r="R225" s="90"/>
      <c r="S225" s="326"/>
      <c r="T225" s="327"/>
      <c r="Y225" s="77">
        <v>13</v>
      </c>
    </row>
    <row r="226" spans="2:20" s="77" customFormat="1" ht="16.5" customHeight="1">
      <c r="B226" s="274" t="s">
        <v>0</v>
      </c>
      <c r="C226" s="275"/>
      <c r="D226" s="275"/>
      <c r="E226" s="276" t="str">
        <f>VLOOKUP($Y$5,'Dış Hava'!$A$6:$B$60,2,0)</f>
        <v>Bursa</v>
      </c>
      <c r="F226" s="276"/>
      <c r="G226" s="277"/>
      <c r="H226" s="345"/>
      <c r="I226" s="80" t="s">
        <v>389</v>
      </c>
      <c r="J226" s="81">
        <f>VLOOKUP(E226,'Dış Hava'!$B$6:$S$60,13,0)</f>
        <v>25</v>
      </c>
      <c r="K226" s="82">
        <v>18.5</v>
      </c>
      <c r="L226" s="81">
        <f>+J226-K226</f>
        <v>6.5</v>
      </c>
      <c r="M226" s="248"/>
      <c r="N226" s="79" t="s">
        <v>411</v>
      </c>
      <c r="O226" s="268" t="s">
        <v>412</v>
      </c>
      <c r="P226" s="269"/>
      <c r="Q226" s="89"/>
      <c r="R226" s="90"/>
      <c r="S226" s="347"/>
      <c r="T226" s="348"/>
    </row>
    <row r="227" spans="2:20" s="77" customFormat="1" ht="16.5" customHeight="1">
      <c r="B227" s="278" t="s">
        <v>1</v>
      </c>
      <c r="C227" s="279"/>
      <c r="D227" s="280"/>
      <c r="E227" s="281"/>
      <c r="F227" s="78" t="s">
        <v>2</v>
      </c>
      <c r="G227" s="258"/>
      <c r="H227" s="345"/>
      <c r="I227" s="80" t="s">
        <v>393</v>
      </c>
      <c r="J227" s="247">
        <f>VLOOKUP(E226,'Dış Hava'!$B$6:$S$60,15,0)/100</f>
        <v>0.38</v>
      </c>
      <c r="K227" s="153">
        <v>0.5</v>
      </c>
      <c r="L227" s="152" t="s">
        <v>392</v>
      </c>
      <c r="M227" s="83"/>
      <c r="N227" s="79" t="s">
        <v>362</v>
      </c>
      <c r="O227" s="270" t="s">
        <v>410</v>
      </c>
      <c r="P227" s="271"/>
      <c r="Q227" s="333" t="s">
        <v>372</v>
      </c>
      <c r="R227" s="334"/>
      <c r="S227" s="334"/>
      <c r="T227" s="335"/>
    </row>
    <row r="228" spans="2:20" s="77" customFormat="1" ht="16.5" customHeight="1" thickBot="1">
      <c r="B228" s="179" t="s">
        <v>186</v>
      </c>
      <c r="C228" s="84"/>
      <c r="D228" s="328" t="s">
        <v>421</v>
      </c>
      <c r="E228" s="329"/>
      <c r="F228" s="329"/>
      <c r="G228" s="330"/>
      <c r="H228" s="346"/>
      <c r="I228" s="159" t="s">
        <v>189</v>
      </c>
      <c r="J228" s="131">
        <f>VLOOKUP(E226,'Dış Hava'!$B$6:$S$60,16,0)</f>
        <v>15</v>
      </c>
      <c r="K228" s="231">
        <v>10.5</v>
      </c>
      <c r="L228" s="157">
        <f>+J228-K228</f>
        <v>4.5</v>
      </c>
      <c r="M228" s="106"/>
      <c r="N228" s="132" t="s">
        <v>180</v>
      </c>
      <c r="O228" s="272" t="s">
        <v>410</v>
      </c>
      <c r="P228" s="273"/>
      <c r="Q228" s="336"/>
      <c r="R228" s="337"/>
      <c r="S228" s="337"/>
      <c r="T228" s="338"/>
    </row>
    <row r="229" spans="2:20" s="77" customFormat="1" ht="18" customHeight="1" thickBot="1">
      <c r="B229" s="232" t="s">
        <v>3</v>
      </c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109"/>
    </row>
    <row r="230" spans="2:20" s="77" customFormat="1" ht="18" customHeight="1" thickBot="1">
      <c r="B230" s="339" t="s">
        <v>183</v>
      </c>
      <c r="C230" s="341" t="s">
        <v>4</v>
      </c>
      <c r="D230" s="341" t="s">
        <v>182</v>
      </c>
      <c r="E230" s="341" t="s">
        <v>5</v>
      </c>
      <c r="F230" s="317" t="s">
        <v>8</v>
      </c>
      <c r="G230" s="317" t="s">
        <v>9</v>
      </c>
      <c r="H230" s="319" t="s">
        <v>10</v>
      </c>
      <c r="I230" s="321" t="s">
        <v>11</v>
      </c>
      <c r="J230" s="322"/>
      <c r="K230" s="322"/>
      <c r="L230" s="322"/>
      <c r="M230" s="322"/>
      <c r="N230" s="322"/>
      <c r="O230" s="323"/>
      <c r="P230" s="321" t="s">
        <v>12</v>
      </c>
      <c r="Q230" s="322"/>
      <c r="R230" s="322"/>
      <c r="S230" s="322"/>
      <c r="T230" s="323"/>
    </row>
    <row r="231" spans="2:20" s="77" customFormat="1" ht="39.75" customHeight="1" thickBot="1">
      <c r="B231" s="340"/>
      <c r="C231" s="342"/>
      <c r="D231" s="343"/>
      <c r="E231" s="342"/>
      <c r="F231" s="318"/>
      <c r="G231" s="318"/>
      <c r="H231" s="320"/>
      <c r="I231" s="13" t="s">
        <v>168</v>
      </c>
      <c r="J231" s="14" t="s">
        <v>162</v>
      </c>
      <c r="K231" s="15" t="s">
        <v>163</v>
      </c>
      <c r="L231" s="16" t="s">
        <v>167</v>
      </c>
      <c r="M231" s="13" t="s">
        <v>164</v>
      </c>
      <c r="N231" s="14" t="s">
        <v>165</v>
      </c>
      <c r="O231" s="15" t="s">
        <v>166</v>
      </c>
      <c r="P231" s="17" t="s">
        <v>7</v>
      </c>
      <c r="Q231" s="127" t="s">
        <v>363</v>
      </c>
      <c r="R231" s="349" t="s">
        <v>48</v>
      </c>
      <c r="S231" s="350"/>
      <c r="T231" s="18" t="s">
        <v>6</v>
      </c>
    </row>
    <row r="232" spans="2:20" s="77" customFormat="1" ht="18" customHeight="1">
      <c r="B232" s="167" t="s">
        <v>396</v>
      </c>
      <c r="C232" s="168" t="s">
        <v>43</v>
      </c>
      <c r="D232" s="96">
        <f>3.5*3</f>
        <v>10.5</v>
      </c>
      <c r="E232" s="96">
        <v>1</v>
      </c>
      <c r="F232" s="169">
        <f aca="true" t="shared" si="35" ref="F232:F242">+D232*E232</f>
        <v>10.5</v>
      </c>
      <c r="G232" s="96"/>
      <c r="H232" s="170">
        <f>+F232-G232</f>
        <v>10.5</v>
      </c>
      <c r="I232" s="243">
        <f>IF(B232="Dp",VLOOKUP(C232,'Güneş Şiddeti'!$C$126:$P$134,4,0),0)</f>
        <v>29.31034482758621</v>
      </c>
      <c r="J232" s="244">
        <f>IF(B232="Dp",VLOOKUP(C232,'Güneş Şiddeti'!$C$126:$P$134,8,0),0)</f>
        <v>37.931034482758626</v>
      </c>
      <c r="K232" s="245">
        <f>IF(B232="Dp",VLOOKUP(C232,'Güneş Şiddeti'!$C$126:$P$134,12,0),0)</f>
        <v>29.31034482758621</v>
      </c>
      <c r="L232" s="246">
        <f>VLOOKUP(B232,'K Değerleri'!$C$3:$G$17,5,0)</f>
        <v>0.8</v>
      </c>
      <c r="M232" s="22">
        <f>+H232*I232*L232</f>
        <v>246.20689655172418</v>
      </c>
      <c r="N232" s="23">
        <f>+H232*J232*L232</f>
        <v>318.6206896551725</v>
      </c>
      <c r="O232" s="24">
        <f>+H232*K232*L232</f>
        <v>246.20689655172418</v>
      </c>
      <c r="P232" s="34">
        <f>VLOOKUP(B232,'K Değerleri'!$C$3:$E$35,3,0)</f>
        <v>2.9</v>
      </c>
      <c r="Q232" s="35">
        <f>VLOOKUP(B232,'K Değerleri'!$C$3:$P$17,VLOOKUP(C232,'K Değerleri'!$E$20:$F$28,2,0),0)</f>
        <v>9</v>
      </c>
      <c r="R232" s="331">
        <f>+P232*Q232</f>
        <v>26.099999999999998</v>
      </c>
      <c r="S232" s="332"/>
      <c r="T232" s="28">
        <f>+R232*H232</f>
        <v>274.04999999999995</v>
      </c>
    </row>
    <row r="233" spans="2:20" s="77" customFormat="1" ht="18" customHeight="1">
      <c r="B233" s="32" t="s">
        <v>396</v>
      </c>
      <c r="C233" s="75" t="s">
        <v>43</v>
      </c>
      <c r="D233" s="8">
        <f>2.5*3</f>
        <v>7.5</v>
      </c>
      <c r="E233" s="8">
        <v>2</v>
      </c>
      <c r="F233" s="19">
        <f t="shared" si="35"/>
        <v>15</v>
      </c>
      <c r="G233" s="9"/>
      <c r="H233" s="171">
        <f>+F233-G233</f>
        <v>15</v>
      </c>
      <c r="I233" s="243">
        <f>IF(B233="Dp",VLOOKUP(C233,'Güneş Şiddeti'!$C$126:$P$134,4,0),0)</f>
        <v>29.31034482758621</v>
      </c>
      <c r="J233" s="244">
        <f>IF(B233="Dp",VLOOKUP(C233,'Güneş Şiddeti'!$C$126:$P$134,8,0),0)</f>
        <v>37.931034482758626</v>
      </c>
      <c r="K233" s="245">
        <f>IF(B233="Dp",VLOOKUP(C233,'Güneş Şiddeti'!$C$126:$P$134,12,0),0)</f>
        <v>29.31034482758621</v>
      </c>
      <c r="L233" s="246">
        <f>VLOOKUP(B233,'K Değerleri'!$C$3:$G$17,5,0)</f>
        <v>0.8</v>
      </c>
      <c r="M233" s="25">
        <f>+H233*I233*L233</f>
        <v>351.72413793103453</v>
      </c>
      <c r="N233" s="26">
        <f>+H233*J233*L233</f>
        <v>455.17241379310354</v>
      </c>
      <c r="O233" s="27">
        <f>+H233*K233*L233</f>
        <v>351.72413793103453</v>
      </c>
      <c r="P233" s="36">
        <f>VLOOKUP(B233,'K Değerleri'!$C$3:$E$35,3,0)</f>
        <v>2.9</v>
      </c>
      <c r="Q233" s="35">
        <f>VLOOKUP(B233,'K Değerleri'!$C$3:$P$17,VLOOKUP(C233,'K Değerleri'!$E$20:$F$28,2,0),0)</f>
        <v>9</v>
      </c>
      <c r="R233" s="315">
        <f>+P233*Q233</f>
        <v>26.099999999999998</v>
      </c>
      <c r="S233" s="316"/>
      <c r="T233" s="29">
        <f>+R233*H233</f>
        <v>391.49999999999994</v>
      </c>
    </row>
    <row r="234" spans="2:20" s="77" customFormat="1" ht="18" customHeight="1">
      <c r="B234" s="32" t="s">
        <v>108</v>
      </c>
      <c r="C234" s="75" t="s">
        <v>43</v>
      </c>
      <c r="D234" s="8">
        <f>14*3.5</f>
        <v>49</v>
      </c>
      <c r="E234" s="8">
        <v>1</v>
      </c>
      <c r="F234" s="19">
        <f t="shared" si="35"/>
        <v>49</v>
      </c>
      <c r="G234" s="9">
        <f>+H232+H233</f>
        <v>25.5</v>
      </c>
      <c r="H234" s="171">
        <f>+F234-G234</f>
        <v>23.5</v>
      </c>
      <c r="I234" s="243">
        <f>IF(B234="Dp",VLOOKUP(C234,'Güneş Şiddeti'!$C$126:$P$134,4,0),0)</f>
        <v>0</v>
      </c>
      <c r="J234" s="244">
        <f>IF(B234="Dp",VLOOKUP(C234,'Güneş Şiddeti'!$C$126:$P$134,8,0),0)</f>
        <v>0</v>
      </c>
      <c r="K234" s="245">
        <f>IF(B234="Dp",VLOOKUP(C234,'Güneş Şiddeti'!$C$126:$P$134,12,0),0)</f>
        <v>0</v>
      </c>
      <c r="L234" s="246">
        <f>VLOOKUP(B234,'K Değerleri'!$C$3:$G$17,5,0)</f>
        <v>1</v>
      </c>
      <c r="M234" s="25">
        <f>+H234*I234*L234</f>
        <v>0</v>
      </c>
      <c r="N234" s="26">
        <f>+H234*J234*L234</f>
        <v>0</v>
      </c>
      <c r="O234" s="27">
        <f>+H234*K234*L234</f>
        <v>0</v>
      </c>
      <c r="P234" s="36">
        <f>VLOOKUP(B234,'K Değerleri'!$C$3:$E$35,3,0)</f>
        <v>0.38</v>
      </c>
      <c r="Q234" s="35">
        <f>VLOOKUP(B234,'K Değerleri'!$C$3:$P$17,VLOOKUP(C234,'K Değerleri'!$E$20:$F$28,2,0),0)</f>
        <v>19</v>
      </c>
      <c r="R234" s="315">
        <f aca="true" t="shared" si="36" ref="R234:R242">+P234*Q234</f>
        <v>7.22</v>
      </c>
      <c r="S234" s="316"/>
      <c r="T234" s="29">
        <f aca="true" t="shared" si="37" ref="T234:T242">+R234*H234</f>
        <v>169.67</v>
      </c>
    </row>
    <row r="235" spans="2:20" s="77" customFormat="1" ht="18" customHeight="1">
      <c r="B235" s="32" t="s">
        <v>108</v>
      </c>
      <c r="C235" s="75" t="s">
        <v>45</v>
      </c>
      <c r="D235" s="8">
        <f>6*3.5</f>
        <v>21</v>
      </c>
      <c r="E235" s="8">
        <v>1</v>
      </c>
      <c r="F235" s="19">
        <f t="shared" si="35"/>
        <v>21</v>
      </c>
      <c r="G235" s="9"/>
      <c r="H235" s="171">
        <f>+F235-G235</f>
        <v>21</v>
      </c>
      <c r="I235" s="243">
        <f>IF(B235="Dp",VLOOKUP(C235,'Güneş Şiddeti'!$C$126:$P$134,4,0),0)</f>
        <v>0</v>
      </c>
      <c r="J235" s="244">
        <f>IF(B235="Dp",VLOOKUP(C235,'Güneş Şiddeti'!$C$126:$P$134,8,0),0)</f>
        <v>0</v>
      </c>
      <c r="K235" s="245">
        <f>IF(B235="Dp",VLOOKUP(C235,'Güneş Şiddeti'!$C$126:$P$134,12,0),0)</f>
        <v>0</v>
      </c>
      <c r="L235" s="246">
        <f>VLOOKUP(B235,'K Değerleri'!$C$3:$G$17,5,0)</f>
        <v>1</v>
      </c>
      <c r="M235" s="25">
        <f>+H235*I235*L235</f>
        <v>0</v>
      </c>
      <c r="N235" s="26">
        <f>+H235*J235*L235</f>
        <v>0</v>
      </c>
      <c r="O235" s="27">
        <f>+H235*K235*L235</f>
        <v>0</v>
      </c>
      <c r="P235" s="36">
        <f>VLOOKUP(B235,'K Değerleri'!$C$3:$E$35,3,0)</f>
        <v>0.38</v>
      </c>
      <c r="Q235" s="35">
        <f>VLOOKUP(B235,'K Değerleri'!$C$3:$P$17,VLOOKUP(C235,'K Değerleri'!$E$20:$F$28,2,0),0)</f>
        <v>27</v>
      </c>
      <c r="R235" s="315">
        <f t="shared" si="36"/>
        <v>10.26</v>
      </c>
      <c r="S235" s="316"/>
      <c r="T235" s="29">
        <f t="shared" si="37"/>
        <v>215.46</v>
      </c>
    </row>
    <row r="236" spans="2:20" s="77" customFormat="1" ht="18" customHeight="1">
      <c r="B236" s="32"/>
      <c r="C236" s="75"/>
      <c r="D236" s="8"/>
      <c r="E236" s="8"/>
      <c r="F236" s="19">
        <f t="shared" si="35"/>
        <v>0</v>
      </c>
      <c r="G236" s="9"/>
      <c r="H236" s="171">
        <f aca="true" t="shared" si="38" ref="H236:H242">+F236-G236</f>
        <v>0</v>
      </c>
      <c r="I236" s="243">
        <f>IF(B236="Dp",VLOOKUP(C236,'Güneş Şiddeti'!$C$126:$P$134,4,0),0)</f>
        <v>0</v>
      </c>
      <c r="J236" s="244">
        <f>IF(B236="Dp",VLOOKUP(C236,'Güneş Şiddeti'!$C$126:$P$134,8,0),0)</f>
        <v>0</v>
      </c>
      <c r="K236" s="245">
        <f>IF(B236="Dp",VLOOKUP(C236,'Güneş Şiddeti'!$C$126:$P$134,12,0),0)</f>
        <v>0</v>
      </c>
      <c r="L236" s="246">
        <f>VLOOKUP(B236,'K Değerleri'!$C$3:$G$17,5,0)</f>
        <v>0</v>
      </c>
      <c r="M236" s="25">
        <f>+H236*I236*L236</f>
        <v>0</v>
      </c>
      <c r="N236" s="26">
        <f>+H236*J236*L236</f>
        <v>0</v>
      </c>
      <c r="O236" s="27">
        <f>+H236*K236*L236</f>
        <v>0</v>
      </c>
      <c r="P236" s="36">
        <f>VLOOKUP(B236,'K Değerleri'!$C$3:$E$35,3,0)</f>
        <v>0</v>
      </c>
      <c r="Q236" s="35">
        <f>VLOOKUP(B236,'K Değerleri'!$C$3:$P$17,VLOOKUP(C236,'K Değerleri'!$E$20:$F$28,2,0),0)</f>
        <v>0</v>
      </c>
      <c r="R236" s="315">
        <f t="shared" si="36"/>
        <v>0</v>
      </c>
      <c r="S236" s="316"/>
      <c r="T236" s="29">
        <f t="shared" si="37"/>
        <v>0</v>
      </c>
    </row>
    <row r="237" spans="2:20" s="77" customFormat="1" ht="18" customHeight="1">
      <c r="B237" s="32"/>
      <c r="C237" s="75"/>
      <c r="D237" s="8"/>
      <c r="E237" s="8"/>
      <c r="F237" s="19">
        <f t="shared" si="35"/>
        <v>0</v>
      </c>
      <c r="G237" s="9"/>
      <c r="H237" s="171">
        <f t="shared" si="38"/>
        <v>0</v>
      </c>
      <c r="I237" s="243">
        <f>IF(B237="Dp",VLOOKUP(C237,'Güneş Şiddeti'!$C$126:$P$134,4,0),0)</f>
        <v>0</v>
      </c>
      <c r="J237" s="244">
        <f>IF(B237="Dp",VLOOKUP(C237,'Güneş Şiddeti'!$C$126:$P$134,8,0),0)</f>
        <v>0</v>
      </c>
      <c r="K237" s="245">
        <f>IF(B237="Dp",VLOOKUP(C237,'Güneş Şiddeti'!$C$126:$P$134,12,0),0)</f>
        <v>0</v>
      </c>
      <c r="L237" s="246">
        <f>VLOOKUP(B237,'K Değerleri'!$C$3:$G$17,5,0)</f>
        <v>0</v>
      </c>
      <c r="M237" s="25">
        <f aca="true" t="shared" si="39" ref="M237:M242">+H237*I237*L237</f>
        <v>0</v>
      </c>
      <c r="N237" s="26">
        <f aca="true" t="shared" si="40" ref="N237:N242">+H237*J237*L237</f>
        <v>0</v>
      </c>
      <c r="O237" s="27">
        <f aca="true" t="shared" si="41" ref="O237:O242">+H237*K237*L237</f>
        <v>0</v>
      </c>
      <c r="P237" s="36">
        <f>VLOOKUP(B237,'K Değerleri'!$C$3:$E$35,3,0)</f>
        <v>0</v>
      </c>
      <c r="Q237" s="35">
        <f>VLOOKUP(B237,'K Değerleri'!$C$3:$P$17,VLOOKUP(C237,'K Değerleri'!$E$20:$F$28,2,0),0)</f>
        <v>0</v>
      </c>
      <c r="R237" s="315">
        <f t="shared" si="36"/>
        <v>0</v>
      </c>
      <c r="S237" s="316"/>
      <c r="T237" s="29">
        <f t="shared" si="37"/>
        <v>0</v>
      </c>
    </row>
    <row r="238" spans="2:20" s="77" customFormat="1" ht="18" customHeight="1">
      <c r="B238" s="32"/>
      <c r="C238" s="75"/>
      <c r="D238" s="8"/>
      <c r="E238" s="8"/>
      <c r="F238" s="19">
        <f t="shared" si="35"/>
        <v>0</v>
      </c>
      <c r="G238" s="9"/>
      <c r="H238" s="171">
        <f t="shared" si="38"/>
        <v>0</v>
      </c>
      <c r="I238" s="243">
        <f>IF(B238="Dp",VLOOKUP(C238,'Güneş Şiddeti'!$C$126:$P$134,4,0),0)</f>
        <v>0</v>
      </c>
      <c r="J238" s="244">
        <f>IF(B238="Dp",VLOOKUP(C238,'Güneş Şiddeti'!$C$126:$P$134,8,0),0)</f>
        <v>0</v>
      </c>
      <c r="K238" s="245">
        <f>IF(B238="Dp",VLOOKUP(C238,'Güneş Şiddeti'!$C$126:$P$134,12,0),0)</f>
        <v>0</v>
      </c>
      <c r="L238" s="246">
        <f>VLOOKUP(B238,'K Değerleri'!$C$3:$G$17,5,0)</f>
        <v>0</v>
      </c>
      <c r="M238" s="25">
        <f t="shared" si="39"/>
        <v>0</v>
      </c>
      <c r="N238" s="26">
        <f t="shared" si="40"/>
        <v>0</v>
      </c>
      <c r="O238" s="27">
        <f t="shared" si="41"/>
        <v>0</v>
      </c>
      <c r="P238" s="36">
        <f>VLOOKUP(B238,'K Değerleri'!$C$3:$E$35,3,0)</f>
        <v>0</v>
      </c>
      <c r="Q238" s="35">
        <f>VLOOKUP(B238,'K Değerleri'!$C$3:$P$17,VLOOKUP(C238,'K Değerleri'!$E$20:$F$28,2,0),0)</f>
        <v>0</v>
      </c>
      <c r="R238" s="315">
        <f t="shared" si="36"/>
        <v>0</v>
      </c>
      <c r="S238" s="316"/>
      <c r="T238" s="29">
        <f t="shared" si="37"/>
        <v>0</v>
      </c>
    </row>
    <row r="239" spans="2:20" s="77" customFormat="1" ht="18" customHeight="1">
      <c r="B239" s="32"/>
      <c r="C239" s="75"/>
      <c r="D239" s="8"/>
      <c r="E239" s="8"/>
      <c r="F239" s="19">
        <f t="shared" si="35"/>
        <v>0</v>
      </c>
      <c r="G239" s="9"/>
      <c r="H239" s="171">
        <f t="shared" si="38"/>
        <v>0</v>
      </c>
      <c r="I239" s="243">
        <f>IF(B239="Dp",VLOOKUP(C239,'Güneş Şiddeti'!$C$126:$P$134,4,0),0)</f>
        <v>0</v>
      </c>
      <c r="J239" s="244">
        <f>IF(B239="Dp",VLOOKUP(C239,'Güneş Şiddeti'!$C$126:$P$134,8,0),0)</f>
        <v>0</v>
      </c>
      <c r="K239" s="245">
        <f>IF(B239="Dp",VLOOKUP(C239,'Güneş Şiddeti'!$C$126:$P$134,12,0),0)</f>
        <v>0</v>
      </c>
      <c r="L239" s="246">
        <f>VLOOKUP(B239,'K Değerleri'!$C$3:$G$17,5,0)</f>
        <v>0</v>
      </c>
      <c r="M239" s="25">
        <f t="shared" si="39"/>
        <v>0</v>
      </c>
      <c r="N239" s="26">
        <f t="shared" si="40"/>
        <v>0</v>
      </c>
      <c r="O239" s="27">
        <f t="shared" si="41"/>
        <v>0</v>
      </c>
      <c r="P239" s="36">
        <f>VLOOKUP(B239,'K Değerleri'!$C$3:$E$35,3,0)</f>
        <v>0</v>
      </c>
      <c r="Q239" s="35">
        <f>VLOOKUP(B239,'K Değerleri'!$C$3:$P$17,VLOOKUP(C239,'K Değerleri'!$E$20:$F$28,2,0),0)</f>
        <v>0</v>
      </c>
      <c r="R239" s="315">
        <f t="shared" si="36"/>
        <v>0</v>
      </c>
      <c r="S239" s="316"/>
      <c r="T239" s="29">
        <f t="shared" si="37"/>
        <v>0</v>
      </c>
    </row>
    <row r="240" spans="2:20" s="77" customFormat="1" ht="18" customHeight="1">
      <c r="B240" s="32"/>
      <c r="C240" s="75"/>
      <c r="D240" s="8"/>
      <c r="E240" s="8"/>
      <c r="F240" s="19">
        <f t="shared" si="35"/>
        <v>0</v>
      </c>
      <c r="G240" s="8"/>
      <c r="H240" s="171">
        <f t="shared" si="38"/>
        <v>0</v>
      </c>
      <c r="I240" s="243">
        <f>IF(B240="Dp",VLOOKUP(C240,'Güneş Şiddeti'!$C$126:$P$134,4,0),0)</f>
        <v>0</v>
      </c>
      <c r="J240" s="244">
        <f>IF(B240="Dp",VLOOKUP(C240,'Güneş Şiddeti'!$C$126:$P$134,8,0),0)</f>
        <v>0</v>
      </c>
      <c r="K240" s="245">
        <f>IF(B240="Dp",VLOOKUP(C240,'Güneş Şiddeti'!$C$126:$P$134,12,0),0)</f>
        <v>0</v>
      </c>
      <c r="L240" s="246">
        <f>VLOOKUP(B240,'K Değerleri'!$C$3:$G$17,5,0)</f>
        <v>0</v>
      </c>
      <c r="M240" s="25">
        <f t="shared" si="39"/>
        <v>0</v>
      </c>
      <c r="N240" s="26">
        <f t="shared" si="40"/>
        <v>0</v>
      </c>
      <c r="O240" s="27">
        <f t="shared" si="41"/>
        <v>0</v>
      </c>
      <c r="P240" s="36">
        <f>VLOOKUP(B240,'K Değerleri'!$C$3:$E$35,3,0)</f>
        <v>0</v>
      </c>
      <c r="Q240" s="35">
        <f>VLOOKUP(B240,'K Değerleri'!$C$3:$P$17,VLOOKUP(C240,'K Değerleri'!$E$20:$F$28,2,0),0)</f>
        <v>0</v>
      </c>
      <c r="R240" s="315">
        <f t="shared" si="36"/>
        <v>0</v>
      </c>
      <c r="S240" s="316"/>
      <c r="T240" s="29">
        <f t="shared" si="37"/>
        <v>0</v>
      </c>
    </row>
    <row r="241" spans="2:20" s="77" customFormat="1" ht="18" customHeight="1">
      <c r="B241" s="32"/>
      <c r="C241" s="75"/>
      <c r="D241" s="8"/>
      <c r="E241" s="8"/>
      <c r="F241" s="19">
        <f t="shared" si="35"/>
        <v>0</v>
      </c>
      <c r="G241" s="8"/>
      <c r="H241" s="171">
        <f t="shared" si="38"/>
        <v>0</v>
      </c>
      <c r="I241" s="243">
        <f>IF(B241="Dp",VLOOKUP(C241,'Güneş Şiddeti'!$C$126:$P$134,4,0),0)</f>
        <v>0</v>
      </c>
      <c r="J241" s="244">
        <f>IF(B241="Dp",VLOOKUP(C241,'Güneş Şiddeti'!$C$126:$P$134,8,0),0)</f>
        <v>0</v>
      </c>
      <c r="K241" s="245">
        <f>IF(B241="Dp",VLOOKUP(C241,'Güneş Şiddeti'!$C$126:$P$134,12,0),0)</f>
        <v>0</v>
      </c>
      <c r="L241" s="246">
        <f>VLOOKUP(B241,'K Değerleri'!$C$3:$G$17,5,0)</f>
        <v>0</v>
      </c>
      <c r="M241" s="25">
        <f t="shared" si="39"/>
        <v>0</v>
      </c>
      <c r="N241" s="26">
        <f t="shared" si="40"/>
        <v>0</v>
      </c>
      <c r="O241" s="27">
        <f t="shared" si="41"/>
        <v>0</v>
      </c>
      <c r="P241" s="36">
        <f>VLOOKUP(B241,'K Değerleri'!$C$3:$E$35,3,0)</f>
        <v>0</v>
      </c>
      <c r="Q241" s="35">
        <f>VLOOKUP(B241,'K Değerleri'!$C$3:$P$17,VLOOKUP(C241,'K Değerleri'!$E$20:$F$28,2,0),0)</f>
        <v>0</v>
      </c>
      <c r="R241" s="315">
        <f t="shared" si="36"/>
        <v>0</v>
      </c>
      <c r="S241" s="316"/>
      <c r="T241" s="29">
        <f t="shared" si="37"/>
        <v>0</v>
      </c>
    </row>
    <row r="242" spans="2:20" s="77" customFormat="1" ht="18" customHeight="1" thickBot="1">
      <c r="B242" s="33"/>
      <c r="C242" s="172"/>
      <c r="D242" s="10"/>
      <c r="E242" s="10"/>
      <c r="F242" s="20">
        <f t="shared" si="35"/>
        <v>0</v>
      </c>
      <c r="G242" s="255"/>
      <c r="H242" s="21">
        <f t="shared" si="38"/>
        <v>0</v>
      </c>
      <c r="I242" s="243">
        <f>IF(B242="Dp",VLOOKUP(C242,'Güneş Şiddeti'!$C$126:$P$134,4,0),0)</f>
        <v>0</v>
      </c>
      <c r="J242" s="244">
        <f>IF(B242="Dp",VLOOKUP(C242,'Güneş Şiddeti'!$C$126:$P$134,8,0),0)</f>
        <v>0</v>
      </c>
      <c r="K242" s="245">
        <f>IF(B242="Dp",VLOOKUP(C242,'Güneş Şiddeti'!$C$126:$P$134,12,0),0)</f>
        <v>0</v>
      </c>
      <c r="L242" s="246">
        <f>VLOOKUP(B242,'K Değerleri'!$C$3:$G$17,5,0)</f>
        <v>0</v>
      </c>
      <c r="M242" s="25">
        <f t="shared" si="39"/>
        <v>0</v>
      </c>
      <c r="N242" s="26">
        <f t="shared" si="40"/>
        <v>0</v>
      </c>
      <c r="O242" s="27">
        <f t="shared" si="41"/>
        <v>0</v>
      </c>
      <c r="P242" s="36">
        <f>VLOOKUP(B242,'K Değerleri'!$C$3:$E$35,3,0)</f>
        <v>0</v>
      </c>
      <c r="Q242" s="35">
        <f>VLOOKUP(B242,'K Değerleri'!$C$3:$P$17,VLOOKUP(C242,'K Değerleri'!$E$20:$F$28,2,0),0)</f>
        <v>0</v>
      </c>
      <c r="R242" s="315">
        <f t="shared" si="36"/>
        <v>0</v>
      </c>
      <c r="S242" s="316"/>
      <c r="T242" s="30">
        <f t="shared" si="37"/>
        <v>0</v>
      </c>
    </row>
    <row r="243" spans="2:20" s="77" customFormat="1" ht="18" customHeight="1" thickBot="1">
      <c r="B243" s="89"/>
      <c r="C243" s="90"/>
      <c r="D243" s="90"/>
      <c r="E243" s="90"/>
      <c r="F243" s="90"/>
      <c r="G243" s="90"/>
      <c r="H243" s="90"/>
      <c r="I243" s="91"/>
      <c r="J243" s="92"/>
      <c r="K243" s="92"/>
      <c r="L243" s="93" t="s">
        <v>14</v>
      </c>
      <c r="M243" s="251">
        <f>SUM(M232:M242)</f>
        <v>597.9310344827587</v>
      </c>
      <c r="N243" s="252">
        <f>SUM(N232:N242)</f>
        <v>773.793103448276</v>
      </c>
      <c r="O243" s="253">
        <f>SUM(O232:O242)</f>
        <v>597.9310344827587</v>
      </c>
      <c r="P243" s="92"/>
      <c r="Q243" s="92"/>
      <c r="R243" s="92"/>
      <c r="S243" s="93" t="s">
        <v>15</v>
      </c>
      <c r="T243" s="94">
        <f>SUM(T232:T242)</f>
        <v>1050.6799999999998</v>
      </c>
    </row>
    <row r="244" spans="2:20" s="77" customFormat="1" ht="18" customHeight="1" thickBot="1">
      <c r="B244" s="86" t="s">
        <v>16</v>
      </c>
      <c r="C244" s="87"/>
      <c r="D244" s="87"/>
      <c r="E244" s="87"/>
      <c r="F244" s="87"/>
      <c r="G244" s="87"/>
      <c r="H244" s="87"/>
      <c r="I244" s="87"/>
      <c r="J244" s="87"/>
      <c r="K244" s="87"/>
      <c r="L244" s="90"/>
      <c r="M244" s="90"/>
      <c r="N244" s="90"/>
      <c r="O244" s="90"/>
      <c r="P244" s="90"/>
      <c r="Q244" s="90"/>
      <c r="R244" s="90"/>
      <c r="S244" s="90"/>
      <c r="T244" s="109"/>
    </row>
    <row r="245" spans="2:25" s="77" customFormat="1" ht="18" customHeight="1">
      <c r="B245" s="282" t="s">
        <v>17</v>
      </c>
      <c r="C245" s="283"/>
      <c r="D245" s="283"/>
      <c r="E245" s="283"/>
      <c r="F245" s="283"/>
      <c r="G245" s="283" t="s">
        <v>21</v>
      </c>
      <c r="H245" s="283"/>
      <c r="I245" s="311"/>
      <c r="J245" s="301" t="s">
        <v>170</v>
      </c>
      <c r="K245" s="302"/>
      <c r="L245" s="96">
        <v>8</v>
      </c>
      <c r="M245" s="95" t="s">
        <v>23</v>
      </c>
      <c r="N245" s="301" t="s">
        <v>174</v>
      </c>
      <c r="O245" s="302"/>
      <c r="P245" s="76">
        <f>VLOOKUP(Y245,İnsan!$A$8:$D$21,3,0)</f>
        <v>70</v>
      </c>
      <c r="Q245" s="312" t="s">
        <v>26</v>
      </c>
      <c r="R245" s="313"/>
      <c r="S245" s="313"/>
      <c r="T245" s="99">
        <f>+L245*P245</f>
        <v>560</v>
      </c>
      <c r="Y245" s="77">
        <v>4</v>
      </c>
    </row>
    <row r="246" spans="2:20" s="77" customFormat="1" ht="18" customHeight="1">
      <c r="B246" s="274" t="s">
        <v>18</v>
      </c>
      <c r="C246" s="275"/>
      <c r="D246" s="275"/>
      <c r="E246" s="275"/>
      <c r="F246" s="275"/>
      <c r="G246" s="275" t="s">
        <v>22</v>
      </c>
      <c r="H246" s="275"/>
      <c r="I246" s="314"/>
      <c r="J246" s="278" t="s">
        <v>173</v>
      </c>
      <c r="K246" s="279" t="s">
        <v>171</v>
      </c>
      <c r="L246" s="8">
        <f>80*50</f>
        <v>4000</v>
      </c>
      <c r="M246" s="83" t="s">
        <v>24</v>
      </c>
      <c r="N246" s="79" t="s">
        <v>177</v>
      </c>
      <c r="O246" s="82">
        <v>1</v>
      </c>
      <c r="P246" s="78" t="s">
        <v>27</v>
      </c>
      <c r="Q246" s="307" t="s">
        <v>176</v>
      </c>
      <c r="R246" s="279"/>
      <c r="S246" s="249">
        <v>0.25</v>
      </c>
      <c r="T246" s="101">
        <f>+L246*O246*S246*0.86</f>
        <v>860</v>
      </c>
    </row>
    <row r="247" spans="2:20" s="77" customFormat="1" ht="18" customHeight="1">
      <c r="B247" s="274" t="s">
        <v>19</v>
      </c>
      <c r="C247" s="275"/>
      <c r="D247" s="275"/>
      <c r="E247" s="275"/>
      <c r="F247" s="275"/>
      <c r="G247" s="308" t="s">
        <v>364</v>
      </c>
      <c r="H247" s="308"/>
      <c r="I247" s="309"/>
      <c r="J247" s="278" t="s">
        <v>172</v>
      </c>
      <c r="K247" s="279"/>
      <c r="L247" s="104">
        <v>250</v>
      </c>
      <c r="M247" s="103" t="s">
        <v>25</v>
      </c>
      <c r="N247" s="79" t="s">
        <v>178</v>
      </c>
      <c r="O247" s="87"/>
      <c r="P247" s="81">
        <v>0.1</v>
      </c>
      <c r="Q247" s="100" t="s">
        <v>179</v>
      </c>
      <c r="R247" s="80"/>
      <c r="S247" s="105">
        <f>+J225-K225</f>
        <v>13</v>
      </c>
      <c r="T247" s="101">
        <f>+L247*P247*S247*0.3</f>
        <v>97.5</v>
      </c>
    </row>
    <row r="248" spans="2:20" s="77" customFormat="1" ht="18" customHeight="1" thickBot="1">
      <c r="B248" s="294" t="s">
        <v>20</v>
      </c>
      <c r="C248" s="295"/>
      <c r="D248" s="295"/>
      <c r="E248" s="295"/>
      <c r="F248" s="305"/>
      <c r="G248" s="295" t="s">
        <v>361</v>
      </c>
      <c r="H248" s="295"/>
      <c r="I248" s="306"/>
      <c r="J248" s="296" t="s">
        <v>175</v>
      </c>
      <c r="K248" s="297"/>
      <c r="L248" s="10">
        <v>300</v>
      </c>
      <c r="M248" s="106" t="s">
        <v>24</v>
      </c>
      <c r="N248" s="79" t="s">
        <v>177</v>
      </c>
      <c r="O248" s="82">
        <v>1</v>
      </c>
      <c r="P248" s="78" t="s">
        <v>27</v>
      </c>
      <c r="Q248" s="307" t="s">
        <v>176</v>
      </c>
      <c r="R248" s="279"/>
      <c r="S248" s="249">
        <v>1</v>
      </c>
      <c r="T248" s="107">
        <f>+L248*O248*S248*0.86</f>
        <v>258</v>
      </c>
    </row>
    <row r="249" spans="2:20" s="77" customFormat="1" ht="18" customHeight="1" thickBot="1">
      <c r="B249" s="89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233"/>
      <c r="O249" s="234"/>
      <c r="P249" s="92"/>
      <c r="Q249" s="92"/>
      <c r="R249" s="92"/>
      <c r="S249" s="93" t="s">
        <v>28</v>
      </c>
      <c r="T249" s="94">
        <f>SUM(T245:T248)</f>
        <v>1775.5</v>
      </c>
    </row>
    <row r="250" spans="2:20" s="77" customFormat="1" ht="18" customHeight="1" thickBot="1">
      <c r="B250" s="86" t="s">
        <v>29</v>
      </c>
      <c r="C250" s="87"/>
      <c r="D250" s="87"/>
      <c r="E250" s="87"/>
      <c r="F250" s="87"/>
      <c r="G250" s="87"/>
      <c r="H250" s="87"/>
      <c r="I250" s="87"/>
      <c r="J250" s="87"/>
      <c r="K250" s="87"/>
      <c r="L250" s="90"/>
      <c r="M250" s="90"/>
      <c r="N250" s="90"/>
      <c r="O250" s="90"/>
      <c r="P250" s="90"/>
      <c r="Q250" s="90"/>
      <c r="R250" s="90"/>
      <c r="S250" s="90"/>
      <c r="T250" s="109"/>
    </row>
    <row r="251" spans="2:20" s="77" customFormat="1" ht="18" customHeight="1">
      <c r="B251" s="282" t="s">
        <v>30</v>
      </c>
      <c r="C251" s="283"/>
      <c r="D251" s="283"/>
      <c r="E251" s="283"/>
      <c r="F251" s="283"/>
      <c r="G251" s="283" t="s">
        <v>21</v>
      </c>
      <c r="H251" s="283"/>
      <c r="I251" s="311"/>
      <c r="J251" s="301" t="s">
        <v>170</v>
      </c>
      <c r="K251" s="302"/>
      <c r="L251" s="76">
        <f>+L245</f>
        <v>8</v>
      </c>
      <c r="M251" s="95" t="s">
        <v>23</v>
      </c>
      <c r="N251" s="301" t="s">
        <v>174</v>
      </c>
      <c r="O251" s="302"/>
      <c r="P251" s="76">
        <f>VLOOKUP(Y245,İnsan!$A$8:$D$21,4,0)</f>
        <v>60</v>
      </c>
      <c r="Q251" s="312" t="s">
        <v>33</v>
      </c>
      <c r="R251" s="313"/>
      <c r="S251" s="313"/>
      <c r="T251" s="99">
        <f>+L251*P251</f>
        <v>480</v>
      </c>
    </row>
    <row r="252" spans="2:20" s="77" customFormat="1" ht="18" customHeight="1">
      <c r="B252" s="274" t="s">
        <v>31</v>
      </c>
      <c r="C252" s="275"/>
      <c r="D252" s="275"/>
      <c r="E252" s="275"/>
      <c r="F252" s="275"/>
      <c r="G252" s="308" t="s">
        <v>365</v>
      </c>
      <c r="H252" s="308"/>
      <c r="I252" s="309"/>
      <c r="J252" s="278" t="s">
        <v>172</v>
      </c>
      <c r="K252" s="279"/>
      <c r="L252" s="102">
        <f>+L247</f>
        <v>250</v>
      </c>
      <c r="M252" s="103" t="s">
        <v>25</v>
      </c>
      <c r="N252" s="79" t="s">
        <v>178</v>
      </c>
      <c r="O252" s="87"/>
      <c r="P252" s="250">
        <f>+P247</f>
        <v>0.1</v>
      </c>
      <c r="Q252" s="310">
        <f>+L228</f>
        <v>4.5</v>
      </c>
      <c r="R252" s="279"/>
      <c r="S252" s="128" t="s">
        <v>368</v>
      </c>
      <c r="T252" s="101">
        <f>+L252*P252*Q252*0.7</f>
        <v>78.75</v>
      </c>
    </row>
    <row r="253" spans="2:20" s="77" customFormat="1" ht="18" customHeight="1" thickBot="1">
      <c r="B253" s="294" t="s">
        <v>32</v>
      </c>
      <c r="C253" s="295"/>
      <c r="D253" s="295"/>
      <c r="E253" s="295"/>
      <c r="F253" s="305"/>
      <c r="G253" s="295" t="s">
        <v>361</v>
      </c>
      <c r="H253" s="295"/>
      <c r="I253" s="306"/>
      <c r="J253" s="296" t="s">
        <v>373</v>
      </c>
      <c r="K253" s="297"/>
      <c r="L253" s="10"/>
      <c r="M253" s="106" t="s">
        <v>24</v>
      </c>
      <c r="N253" s="79" t="s">
        <v>177</v>
      </c>
      <c r="O253" s="82">
        <v>1</v>
      </c>
      <c r="P253" s="78" t="s">
        <v>27</v>
      </c>
      <c r="Q253" s="307" t="s">
        <v>176</v>
      </c>
      <c r="R253" s="279"/>
      <c r="S253" s="249">
        <v>1</v>
      </c>
      <c r="T253" s="107">
        <f>+L253*O253*S253*0.86</f>
        <v>0</v>
      </c>
    </row>
    <row r="254" spans="2:20" s="77" customFormat="1" ht="18" customHeight="1" thickBot="1">
      <c r="B254" s="89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233"/>
      <c r="O254" s="234"/>
      <c r="P254" s="234"/>
      <c r="Q254" s="92"/>
      <c r="R254" s="92"/>
      <c r="S254" s="93" t="s">
        <v>34</v>
      </c>
      <c r="T254" s="94">
        <f>SUM(T251:T253)</f>
        <v>558.75</v>
      </c>
    </row>
    <row r="255" spans="2:20" s="77" customFormat="1" ht="18" customHeight="1" thickBot="1">
      <c r="B255" s="86" t="s">
        <v>35</v>
      </c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8"/>
    </row>
    <row r="256" spans="2:20" s="77" customFormat="1" ht="18" customHeight="1">
      <c r="B256" s="282" t="s">
        <v>19</v>
      </c>
      <c r="C256" s="283"/>
      <c r="D256" s="283"/>
      <c r="E256" s="283"/>
      <c r="F256" s="283"/>
      <c r="G256" s="97" t="s">
        <v>366</v>
      </c>
      <c r="H256" s="98"/>
      <c r="I256" s="112"/>
      <c r="J256" s="301" t="s">
        <v>172</v>
      </c>
      <c r="K256" s="302"/>
      <c r="L256" s="113">
        <f>+L247</f>
        <v>250</v>
      </c>
      <c r="M256" s="114" t="s">
        <v>25</v>
      </c>
      <c r="N256" s="303" t="s">
        <v>191</v>
      </c>
      <c r="O256" s="304"/>
      <c r="P256" s="114">
        <f>1-P247</f>
        <v>0.9</v>
      </c>
      <c r="Q256" s="301">
        <f>+L225</f>
        <v>13</v>
      </c>
      <c r="R256" s="302"/>
      <c r="S256" s="129" t="s">
        <v>369</v>
      </c>
      <c r="T256" s="99">
        <f>+L256*Q256*0.3*P256</f>
        <v>877.5</v>
      </c>
    </row>
    <row r="257" spans="2:20" s="77" customFormat="1" ht="18" customHeight="1" thickBot="1">
      <c r="B257" s="294" t="s">
        <v>31</v>
      </c>
      <c r="C257" s="295"/>
      <c r="D257" s="295"/>
      <c r="E257" s="295"/>
      <c r="F257" s="295"/>
      <c r="G257" s="85" t="s">
        <v>367</v>
      </c>
      <c r="H257" s="110"/>
      <c r="I257" s="111"/>
      <c r="J257" s="296" t="s">
        <v>172</v>
      </c>
      <c r="K257" s="297"/>
      <c r="L257" s="84">
        <f>+L256</f>
        <v>250</v>
      </c>
      <c r="M257" s="106" t="s">
        <v>25</v>
      </c>
      <c r="N257" s="298" t="s">
        <v>191</v>
      </c>
      <c r="O257" s="299"/>
      <c r="P257" s="106">
        <f>+P256</f>
        <v>0.9</v>
      </c>
      <c r="Q257" s="300">
        <f>+L228</f>
        <v>4.5</v>
      </c>
      <c r="R257" s="297"/>
      <c r="S257" s="130" t="s">
        <v>368</v>
      </c>
      <c r="T257" s="107">
        <f>+L257*Q257*0.7*P257</f>
        <v>708.75</v>
      </c>
    </row>
    <row r="258" spans="2:20" s="77" customFormat="1" ht="18" customHeight="1" thickBot="1">
      <c r="B258" s="108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91"/>
      <c r="O258" s="92"/>
      <c r="P258" s="92"/>
      <c r="Q258" s="92"/>
      <c r="R258" s="92"/>
      <c r="S258" s="115" t="s">
        <v>36</v>
      </c>
      <c r="T258" s="116">
        <f>SUM(T256:T257)</f>
        <v>1586.25</v>
      </c>
    </row>
    <row r="259" spans="2:20" s="77" customFormat="1" ht="18" customHeight="1">
      <c r="B259" s="108" t="s">
        <v>37</v>
      </c>
      <c r="C259" s="87"/>
      <c r="D259" s="290" t="s">
        <v>39</v>
      </c>
      <c r="E259" s="293" t="s">
        <v>40</v>
      </c>
      <c r="F259" s="293"/>
      <c r="G259" s="293"/>
      <c r="H259" s="293"/>
      <c r="I259" s="117"/>
      <c r="J259" s="87" t="s">
        <v>37</v>
      </c>
      <c r="K259" s="290" t="s">
        <v>39</v>
      </c>
      <c r="L259" s="293">
        <f>MAX(M243:O243)+T243+T249+T256</f>
        <v>4477.473103448276</v>
      </c>
      <c r="M259" s="293"/>
      <c r="N259" s="293"/>
      <c r="O259" s="293"/>
      <c r="P259" s="293"/>
      <c r="Q259" s="293"/>
      <c r="R259" s="290" t="s">
        <v>39</v>
      </c>
      <c r="S259" s="290" t="s">
        <v>42</v>
      </c>
      <c r="T259" s="291">
        <f>+L259/L260</f>
        <v>0.6761028747881039</v>
      </c>
    </row>
    <row r="260" spans="2:20" s="77" customFormat="1" ht="18" customHeight="1">
      <c r="B260" s="108" t="s">
        <v>38</v>
      </c>
      <c r="C260" s="87"/>
      <c r="D260" s="290"/>
      <c r="E260" s="292" t="s">
        <v>41</v>
      </c>
      <c r="F260" s="292"/>
      <c r="G260" s="292"/>
      <c r="H260" s="292"/>
      <c r="I260" s="117"/>
      <c r="J260" s="87" t="s">
        <v>38</v>
      </c>
      <c r="K260" s="290"/>
      <c r="L260" s="292">
        <f>+L259+T254+T258</f>
        <v>6622.473103448276</v>
      </c>
      <c r="M260" s="292"/>
      <c r="N260" s="292"/>
      <c r="O260" s="292"/>
      <c r="P260" s="292"/>
      <c r="Q260" s="292"/>
      <c r="R260" s="290"/>
      <c r="S260" s="290"/>
      <c r="T260" s="291"/>
    </row>
    <row r="261" spans="2:20" s="77" customFormat="1" ht="18" customHeight="1" thickBot="1">
      <c r="B261" s="108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8"/>
    </row>
    <row r="262" spans="2:20" s="77" customFormat="1" ht="18" customHeight="1">
      <c r="B262" s="89"/>
      <c r="C262" s="118" t="s">
        <v>193</v>
      </c>
      <c r="D262" s="119"/>
      <c r="E262" s="119"/>
      <c r="F262" s="120"/>
      <c r="G262" s="121">
        <v>0.3333333333333333</v>
      </c>
      <c r="H262" s="122">
        <v>0.5</v>
      </c>
      <c r="I262" s="123">
        <v>0.6666666666666666</v>
      </c>
      <c r="J262" s="90"/>
      <c r="K262" s="235" t="s">
        <v>193</v>
      </c>
      <c r="L262" s="230"/>
      <c r="M262" s="236"/>
      <c r="N262" s="237">
        <v>0.3333333333333333</v>
      </c>
      <c r="O262" s="238">
        <v>0.5</v>
      </c>
      <c r="P262" s="239">
        <v>0.6666666666666666</v>
      </c>
      <c r="Q262" s="90"/>
      <c r="R262" s="90"/>
      <c r="S262" s="90"/>
      <c r="T262" s="109"/>
    </row>
    <row r="263" spans="2:20" s="77" customFormat="1" ht="18" customHeight="1" thickBot="1">
      <c r="B263" s="89"/>
      <c r="C263" s="284" t="s">
        <v>192</v>
      </c>
      <c r="D263" s="285"/>
      <c r="E263" s="285"/>
      <c r="F263" s="286"/>
      <c r="G263" s="124">
        <f>+M243+T243+T249+T254+T258</f>
        <v>5569.111034482758</v>
      </c>
      <c r="H263" s="125">
        <f>+N243+T243+T249+T254+T258</f>
        <v>5744.973103448276</v>
      </c>
      <c r="I263" s="126">
        <f>+O243+T243+T249+T254+T258</f>
        <v>5569.111034482758</v>
      </c>
      <c r="J263" s="90"/>
      <c r="K263" s="287" t="s">
        <v>195</v>
      </c>
      <c r="L263" s="288"/>
      <c r="M263" s="289"/>
      <c r="N263" s="240">
        <f>+G263*4</f>
        <v>22276.444137931034</v>
      </c>
      <c r="O263" s="241">
        <f>+H263*4</f>
        <v>22979.892413793103</v>
      </c>
      <c r="P263" s="242">
        <f>+I263*4</f>
        <v>22276.444137931034</v>
      </c>
      <c r="Q263" s="90"/>
      <c r="R263" s="90"/>
      <c r="S263" s="90"/>
      <c r="T263" s="109"/>
    </row>
    <row r="264" spans="2:20" s="77" customFormat="1" ht="16.5" customHeight="1" thickBot="1">
      <c r="B264" s="173"/>
      <c r="C264" s="165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66"/>
    </row>
    <row r="265" spans="2:20" ht="37.5" customHeight="1">
      <c r="B265" s="267" t="s">
        <v>413</v>
      </c>
      <c r="C265" s="267"/>
      <c r="D265" s="267"/>
      <c r="E265" s="267"/>
      <c r="F265" s="267"/>
      <c r="G265" s="267"/>
      <c r="H265" s="267"/>
      <c r="I265" s="267"/>
      <c r="J265" s="267"/>
      <c r="K265" s="267"/>
      <c r="L265" s="267"/>
      <c r="M265" s="267"/>
      <c r="N265" s="267"/>
      <c r="O265" s="267"/>
      <c r="P265" s="267"/>
      <c r="Q265" s="267"/>
      <c r="R265" s="267"/>
      <c r="S265" s="267"/>
      <c r="T265" s="267"/>
    </row>
    <row r="266" ht="6.75" customHeight="1" thickBot="1"/>
    <row r="267" spans="2:20" s="77" customFormat="1" ht="16.5" customHeight="1">
      <c r="B267" s="282" t="s">
        <v>386</v>
      </c>
      <c r="C267" s="283"/>
      <c r="D267" s="283"/>
      <c r="E267" s="324" t="s">
        <v>414</v>
      </c>
      <c r="F267" s="324"/>
      <c r="G267" s="325"/>
      <c r="H267" s="344" t="s">
        <v>181</v>
      </c>
      <c r="I267" s="158" t="s">
        <v>13</v>
      </c>
      <c r="J267" s="154" t="s">
        <v>390</v>
      </c>
      <c r="K267" s="228" t="s">
        <v>391</v>
      </c>
      <c r="L267" s="154" t="s">
        <v>179</v>
      </c>
      <c r="M267" s="155" t="s">
        <v>188</v>
      </c>
      <c r="N267" s="133" t="s">
        <v>190</v>
      </c>
      <c r="O267" s="162">
        <v>2</v>
      </c>
      <c r="P267" s="163"/>
      <c r="Q267" s="229"/>
      <c r="R267" s="230"/>
      <c r="S267" s="160"/>
      <c r="T267" s="161"/>
    </row>
    <row r="268" spans="2:25" s="77" customFormat="1" ht="16.5" customHeight="1" thickBot="1">
      <c r="B268" s="274" t="s">
        <v>385</v>
      </c>
      <c r="C268" s="275"/>
      <c r="D268" s="275"/>
      <c r="E268" s="276" t="str">
        <f>VLOOKUP($Y$4,'Güneş Şiddeti'!$B$112:$C$123,2,0)</f>
        <v>Temmuz</v>
      </c>
      <c r="F268" s="276"/>
      <c r="G268" s="277"/>
      <c r="H268" s="345"/>
      <c r="I268" s="80" t="s">
        <v>387</v>
      </c>
      <c r="J268" s="81">
        <f>VLOOKUP(E270,'Dış Hava'!$B$6:$S$60,10,0)</f>
        <v>-6</v>
      </c>
      <c r="K268" s="82">
        <v>22</v>
      </c>
      <c r="L268" s="81">
        <f>-J268+K268</f>
        <v>28</v>
      </c>
      <c r="M268" s="83"/>
      <c r="N268" s="79" t="s">
        <v>184</v>
      </c>
      <c r="O268" s="254">
        <f ca="1">TODAY()</f>
        <v>43479</v>
      </c>
      <c r="P268" s="164"/>
      <c r="Q268" s="89"/>
      <c r="R268" s="90"/>
      <c r="S268" s="326"/>
      <c r="T268" s="327"/>
      <c r="Y268" s="77">
        <v>7</v>
      </c>
    </row>
    <row r="269" spans="2:25" s="77" customFormat="1" ht="16.5" customHeight="1">
      <c r="B269" s="274" t="s">
        <v>187</v>
      </c>
      <c r="C269" s="275"/>
      <c r="D269" s="275"/>
      <c r="E269" s="324" t="s">
        <v>415</v>
      </c>
      <c r="F269" s="324"/>
      <c r="G269" s="325"/>
      <c r="H269" s="345"/>
      <c r="I269" s="80" t="s">
        <v>388</v>
      </c>
      <c r="J269" s="81">
        <f>VLOOKUP(E270,'Dış Hava'!$B$6:$S$60,11,0)</f>
        <v>37</v>
      </c>
      <c r="K269" s="82">
        <v>24</v>
      </c>
      <c r="L269" s="81">
        <f>+J269-K269</f>
        <v>13</v>
      </c>
      <c r="M269" s="156"/>
      <c r="N269" s="79" t="s">
        <v>185</v>
      </c>
      <c r="O269" s="268" t="s">
        <v>414</v>
      </c>
      <c r="P269" s="269"/>
      <c r="Q269" s="89"/>
      <c r="R269" s="90"/>
      <c r="S269" s="326"/>
      <c r="T269" s="327"/>
      <c r="Y269" s="77">
        <v>13</v>
      </c>
    </row>
    <row r="270" spans="2:20" s="77" customFormat="1" ht="16.5" customHeight="1">
      <c r="B270" s="274" t="s">
        <v>0</v>
      </c>
      <c r="C270" s="275"/>
      <c r="D270" s="275"/>
      <c r="E270" s="276" t="str">
        <f>VLOOKUP($Y$5,'Dış Hava'!$A$6:$B$60,2,0)</f>
        <v>Bursa</v>
      </c>
      <c r="F270" s="276"/>
      <c r="G270" s="277"/>
      <c r="H270" s="345"/>
      <c r="I270" s="80" t="s">
        <v>389</v>
      </c>
      <c r="J270" s="81">
        <f>VLOOKUP(E270,'Dış Hava'!$B$6:$S$60,13,0)</f>
        <v>25</v>
      </c>
      <c r="K270" s="82">
        <v>18.5</v>
      </c>
      <c r="L270" s="81">
        <f>+J270-K270</f>
        <v>6.5</v>
      </c>
      <c r="M270" s="248"/>
      <c r="N270" s="79" t="s">
        <v>411</v>
      </c>
      <c r="O270" s="268" t="s">
        <v>412</v>
      </c>
      <c r="P270" s="269"/>
      <c r="Q270" s="89"/>
      <c r="R270" s="90"/>
      <c r="S270" s="347"/>
      <c r="T270" s="348"/>
    </row>
    <row r="271" spans="2:20" s="77" customFormat="1" ht="16.5" customHeight="1">
      <c r="B271" s="278" t="s">
        <v>1</v>
      </c>
      <c r="C271" s="279"/>
      <c r="D271" s="280"/>
      <c r="E271" s="281"/>
      <c r="F271" s="78" t="s">
        <v>2</v>
      </c>
      <c r="G271" s="258"/>
      <c r="H271" s="345"/>
      <c r="I271" s="80" t="s">
        <v>393</v>
      </c>
      <c r="J271" s="247">
        <f>VLOOKUP(E270,'Dış Hava'!$B$6:$S$60,15,0)/100</f>
        <v>0.38</v>
      </c>
      <c r="K271" s="153">
        <v>0.5</v>
      </c>
      <c r="L271" s="152" t="s">
        <v>392</v>
      </c>
      <c r="M271" s="83"/>
      <c r="N271" s="79" t="s">
        <v>362</v>
      </c>
      <c r="O271" s="270" t="s">
        <v>410</v>
      </c>
      <c r="P271" s="271"/>
      <c r="Q271" s="333" t="s">
        <v>372</v>
      </c>
      <c r="R271" s="334"/>
      <c r="S271" s="334"/>
      <c r="T271" s="335"/>
    </row>
    <row r="272" spans="2:20" s="77" customFormat="1" ht="16.5" customHeight="1" thickBot="1">
      <c r="B272" s="179" t="s">
        <v>186</v>
      </c>
      <c r="C272" s="84"/>
      <c r="D272" s="328" t="s">
        <v>422</v>
      </c>
      <c r="E272" s="329"/>
      <c r="F272" s="329"/>
      <c r="G272" s="330"/>
      <c r="H272" s="346"/>
      <c r="I272" s="159" t="s">
        <v>189</v>
      </c>
      <c r="J272" s="131">
        <f>VLOOKUP(E270,'Dış Hava'!$B$6:$S$60,16,0)</f>
        <v>15</v>
      </c>
      <c r="K272" s="231">
        <v>10.5</v>
      </c>
      <c r="L272" s="157">
        <f>+J272-K272</f>
        <v>4.5</v>
      </c>
      <c r="M272" s="106"/>
      <c r="N272" s="132" t="s">
        <v>180</v>
      </c>
      <c r="O272" s="272" t="s">
        <v>410</v>
      </c>
      <c r="P272" s="273"/>
      <c r="Q272" s="336"/>
      <c r="R272" s="337"/>
      <c r="S272" s="337"/>
      <c r="T272" s="338"/>
    </row>
    <row r="273" spans="2:20" s="77" customFormat="1" ht="18" customHeight="1" thickBot="1">
      <c r="B273" s="232" t="s">
        <v>3</v>
      </c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109"/>
    </row>
    <row r="274" spans="2:20" s="77" customFormat="1" ht="18" customHeight="1" thickBot="1">
      <c r="B274" s="339" t="s">
        <v>183</v>
      </c>
      <c r="C274" s="341" t="s">
        <v>4</v>
      </c>
      <c r="D274" s="341" t="s">
        <v>182</v>
      </c>
      <c r="E274" s="341" t="s">
        <v>5</v>
      </c>
      <c r="F274" s="317" t="s">
        <v>8</v>
      </c>
      <c r="G274" s="317" t="s">
        <v>9</v>
      </c>
      <c r="H274" s="319" t="s">
        <v>10</v>
      </c>
      <c r="I274" s="321" t="s">
        <v>11</v>
      </c>
      <c r="J274" s="322"/>
      <c r="K274" s="322"/>
      <c r="L274" s="322"/>
      <c r="M274" s="322"/>
      <c r="N274" s="322"/>
      <c r="O274" s="323"/>
      <c r="P274" s="321" t="s">
        <v>12</v>
      </c>
      <c r="Q274" s="322"/>
      <c r="R274" s="322"/>
      <c r="S274" s="322"/>
      <c r="T274" s="323"/>
    </row>
    <row r="275" spans="2:20" s="77" customFormat="1" ht="39.75" customHeight="1" thickBot="1">
      <c r="B275" s="340"/>
      <c r="C275" s="342"/>
      <c r="D275" s="343"/>
      <c r="E275" s="342"/>
      <c r="F275" s="318"/>
      <c r="G275" s="318"/>
      <c r="H275" s="320"/>
      <c r="I275" s="13" t="s">
        <v>168</v>
      </c>
      <c r="J275" s="14" t="s">
        <v>162</v>
      </c>
      <c r="K275" s="15" t="s">
        <v>163</v>
      </c>
      <c r="L275" s="16" t="s">
        <v>167</v>
      </c>
      <c r="M275" s="13" t="s">
        <v>164</v>
      </c>
      <c r="N275" s="14" t="s">
        <v>165</v>
      </c>
      <c r="O275" s="15" t="s">
        <v>166</v>
      </c>
      <c r="P275" s="17" t="s">
        <v>7</v>
      </c>
      <c r="Q275" s="127" t="s">
        <v>363</v>
      </c>
      <c r="R275" s="349" t="s">
        <v>48</v>
      </c>
      <c r="S275" s="350"/>
      <c r="T275" s="18" t="s">
        <v>6</v>
      </c>
    </row>
    <row r="276" spans="2:20" s="77" customFormat="1" ht="18" customHeight="1">
      <c r="B276" s="167" t="s">
        <v>396</v>
      </c>
      <c r="C276" s="168" t="s">
        <v>43</v>
      </c>
      <c r="D276" s="96">
        <f>3*3</f>
        <v>9</v>
      </c>
      <c r="E276" s="96">
        <v>1</v>
      </c>
      <c r="F276" s="169">
        <f aca="true" t="shared" si="42" ref="F276:F286">+D276*E276</f>
        <v>9</v>
      </c>
      <c r="G276" s="96"/>
      <c r="H276" s="170">
        <f>+F276-G276</f>
        <v>9</v>
      </c>
      <c r="I276" s="243">
        <f>IF(B276="Dp",VLOOKUP(C276,'Güneş Şiddeti'!$C$126:$P$134,4,0),0)</f>
        <v>29.31034482758621</v>
      </c>
      <c r="J276" s="244">
        <f>IF(B276="Dp",VLOOKUP(C276,'Güneş Şiddeti'!$C$126:$P$134,8,0),0)</f>
        <v>37.931034482758626</v>
      </c>
      <c r="K276" s="245">
        <f>IF(B276="Dp",VLOOKUP(C276,'Güneş Şiddeti'!$C$126:$P$134,12,0),0)</f>
        <v>29.31034482758621</v>
      </c>
      <c r="L276" s="246">
        <v>0.6</v>
      </c>
      <c r="M276" s="22">
        <f>+H276*I276*L276</f>
        <v>158.27586206896552</v>
      </c>
      <c r="N276" s="23">
        <f>+H276*J276*L276</f>
        <v>204.82758620689657</v>
      </c>
      <c r="O276" s="24">
        <f>+H276*K276*L276</f>
        <v>158.27586206896552</v>
      </c>
      <c r="P276" s="34">
        <f>VLOOKUP(B276,'K Değerleri'!$C$3:$E$35,3,0)</f>
        <v>2.9</v>
      </c>
      <c r="Q276" s="35">
        <f>VLOOKUP(B276,'K Değerleri'!$C$3:$P$17,VLOOKUP(C276,'K Değerleri'!$E$20:$F$28,2,0),0)</f>
        <v>9</v>
      </c>
      <c r="R276" s="331">
        <f>+P276*Q276</f>
        <v>26.099999999999998</v>
      </c>
      <c r="S276" s="332"/>
      <c r="T276" s="28">
        <f>+R276*H276</f>
        <v>234.89999999999998</v>
      </c>
    </row>
    <row r="277" spans="2:20" s="77" customFormat="1" ht="18" customHeight="1">
      <c r="B277" s="32" t="s">
        <v>396</v>
      </c>
      <c r="C277" s="75" t="s">
        <v>44</v>
      </c>
      <c r="D277" s="8">
        <v>9</v>
      </c>
      <c r="E277" s="8">
        <v>1</v>
      </c>
      <c r="F277" s="19">
        <f t="shared" si="42"/>
        <v>9</v>
      </c>
      <c r="G277" s="9"/>
      <c r="H277" s="171">
        <f>+F277-G277</f>
        <v>9</v>
      </c>
      <c r="I277" s="243">
        <f>IF(B277="Dp",VLOOKUP(C277,'Güneş Şiddeti'!$C$126:$P$134,4,0),0)</f>
        <v>438.7931034482759</v>
      </c>
      <c r="J277" s="244">
        <f>IF(B277="Dp",VLOOKUP(C277,'Güneş Şiddeti'!$C$126:$P$134,8,0),0)</f>
        <v>37.931034482758626</v>
      </c>
      <c r="K277" s="245">
        <f>IF(B277="Dp",VLOOKUP(C277,'Güneş Şiddeti'!$C$126:$P$134,12,0),0)</f>
        <v>29.31034482758621</v>
      </c>
      <c r="L277" s="246">
        <v>0.6</v>
      </c>
      <c r="M277" s="25">
        <f>+H277*I277*L277</f>
        <v>2369.4827586206898</v>
      </c>
      <c r="N277" s="26">
        <f>+H277*J277*L277</f>
        <v>204.82758620689657</v>
      </c>
      <c r="O277" s="27">
        <f>+H277*K277*L277</f>
        <v>158.27586206896552</v>
      </c>
      <c r="P277" s="36">
        <f>VLOOKUP(B277,'K Değerleri'!$C$3:$E$35,3,0)</f>
        <v>2.9</v>
      </c>
      <c r="Q277" s="35">
        <f>VLOOKUP(B277,'K Değerleri'!$C$3:$P$17,VLOOKUP(C277,'K Değerleri'!$E$20:$F$28,2,0),0)</f>
        <v>9</v>
      </c>
      <c r="R277" s="315">
        <f>+P277*Q277</f>
        <v>26.099999999999998</v>
      </c>
      <c r="S277" s="316"/>
      <c r="T277" s="29">
        <f>+R277*H277</f>
        <v>234.89999999999998</v>
      </c>
    </row>
    <row r="278" spans="2:20" s="77" customFormat="1" ht="18" customHeight="1">
      <c r="B278" s="32" t="s">
        <v>396</v>
      </c>
      <c r="C278" s="75" t="s">
        <v>44</v>
      </c>
      <c r="D278" s="8">
        <v>9</v>
      </c>
      <c r="E278" s="8">
        <v>1</v>
      </c>
      <c r="F278" s="19">
        <f t="shared" si="42"/>
        <v>9</v>
      </c>
      <c r="G278" s="9"/>
      <c r="H278" s="171">
        <f>+F278-G278</f>
        <v>9</v>
      </c>
      <c r="I278" s="243">
        <f>IF(B278="Dp",VLOOKUP(C278,'Güneş Şiddeti'!$C$126:$P$134,4,0),0)</f>
        <v>438.7931034482759</v>
      </c>
      <c r="J278" s="244">
        <f>IF(B278="Dp",VLOOKUP(C278,'Güneş Şiddeti'!$C$126:$P$134,8,0),0)</f>
        <v>37.931034482758626</v>
      </c>
      <c r="K278" s="245">
        <f>IF(B278="Dp",VLOOKUP(C278,'Güneş Şiddeti'!$C$126:$P$134,12,0),0)</f>
        <v>29.31034482758621</v>
      </c>
      <c r="L278" s="246">
        <v>0.6</v>
      </c>
      <c r="M278" s="25">
        <f>+H278*I278*L278</f>
        <v>2369.4827586206898</v>
      </c>
      <c r="N278" s="26">
        <f>+H278*J278*L278</f>
        <v>204.82758620689657</v>
      </c>
      <c r="O278" s="27">
        <f>+H278*K278*L278</f>
        <v>158.27586206896552</v>
      </c>
      <c r="P278" s="36">
        <f>VLOOKUP(B278,'K Değerleri'!$C$3:$E$35,3,0)</f>
        <v>2.9</v>
      </c>
      <c r="Q278" s="35">
        <f>VLOOKUP(B278,'K Değerleri'!$C$3:$P$17,VLOOKUP(C278,'K Değerleri'!$E$20:$F$28,2,0),0)</f>
        <v>9</v>
      </c>
      <c r="R278" s="315">
        <f aca="true" t="shared" si="43" ref="R278:R286">+P278*Q278</f>
        <v>26.099999999999998</v>
      </c>
      <c r="S278" s="316"/>
      <c r="T278" s="29">
        <f aca="true" t="shared" si="44" ref="T278:T286">+R278*H278</f>
        <v>234.89999999999998</v>
      </c>
    </row>
    <row r="279" spans="2:20" s="77" customFormat="1" ht="18" customHeight="1">
      <c r="B279" s="32" t="s">
        <v>108</v>
      </c>
      <c r="C279" s="75" t="s">
        <v>44</v>
      </c>
      <c r="D279" s="8">
        <v>21</v>
      </c>
      <c r="E279" s="8">
        <v>1</v>
      </c>
      <c r="F279" s="19">
        <f t="shared" si="42"/>
        <v>21</v>
      </c>
      <c r="G279" s="9">
        <v>18</v>
      </c>
      <c r="H279" s="171">
        <f>+F279-G279</f>
        <v>3</v>
      </c>
      <c r="I279" s="243">
        <f>IF(B279="Dp",VLOOKUP(C279,'Güneş Şiddeti'!$C$126:$P$134,4,0),0)</f>
        <v>0</v>
      </c>
      <c r="J279" s="244">
        <f>IF(B279="Dp",VLOOKUP(C279,'Güneş Şiddeti'!$C$126:$P$134,8,0),0)</f>
        <v>0</v>
      </c>
      <c r="K279" s="245">
        <f>IF(B279="Dp",VLOOKUP(C279,'Güneş Şiddeti'!$C$126:$P$134,12,0),0)</f>
        <v>0</v>
      </c>
      <c r="L279" s="246">
        <f>VLOOKUP(B279,'K Değerleri'!$C$3:$G$17,5,0)</f>
        <v>1</v>
      </c>
      <c r="M279" s="25">
        <f>+H279*I279*L279</f>
        <v>0</v>
      </c>
      <c r="N279" s="26">
        <f>+H279*J279*L279</f>
        <v>0</v>
      </c>
      <c r="O279" s="27">
        <f>+H279*K279*L279</f>
        <v>0</v>
      </c>
      <c r="P279" s="36">
        <f>VLOOKUP(B279,'K Değerleri'!$C$3:$E$35,3,0)</f>
        <v>0.38</v>
      </c>
      <c r="Q279" s="35">
        <f>VLOOKUP(B279,'K Değerleri'!$C$3:$P$17,VLOOKUP(C279,'K Değerleri'!$E$20:$F$28,2,0),0)</f>
        <v>22</v>
      </c>
      <c r="R279" s="315">
        <f t="shared" si="43"/>
        <v>8.36</v>
      </c>
      <c r="S279" s="316"/>
      <c r="T279" s="29">
        <f t="shared" si="44"/>
        <v>25.08</v>
      </c>
    </row>
    <row r="280" spans="2:20" s="77" customFormat="1" ht="18" customHeight="1">
      <c r="B280" s="32"/>
      <c r="C280" s="75"/>
      <c r="D280" s="8"/>
      <c r="E280" s="8"/>
      <c r="F280" s="19">
        <f t="shared" si="42"/>
        <v>0</v>
      </c>
      <c r="G280" s="9"/>
      <c r="H280" s="171">
        <f aca="true" t="shared" si="45" ref="H280:H286">+F280-G280</f>
        <v>0</v>
      </c>
      <c r="I280" s="243">
        <f>IF(B280="Dp",VLOOKUP(C280,'Güneş Şiddeti'!$C$126:$P$134,4,0),0)</f>
        <v>0</v>
      </c>
      <c r="J280" s="244">
        <f>IF(B280="Dp",VLOOKUP(C280,'Güneş Şiddeti'!$C$126:$P$134,8,0),0)</f>
        <v>0</v>
      </c>
      <c r="K280" s="245">
        <f>IF(B280="Dp",VLOOKUP(C280,'Güneş Şiddeti'!$C$126:$P$134,12,0),0)</f>
        <v>0</v>
      </c>
      <c r="L280" s="246">
        <f>VLOOKUP(B280,'K Değerleri'!$C$3:$G$17,5,0)</f>
        <v>0</v>
      </c>
      <c r="M280" s="25">
        <f>+H280*I280*L280</f>
        <v>0</v>
      </c>
      <c r="N280" s="26">
        <f>+H280*J280*L280</f>
        <v>0</v>
      </c>
      <c r="O280" s="27">
        <f>+H280*K280*L280</f>
        <v>0</v>
      </c>
      <c r="P280" s="36">
        <f>VLOOKUP(B280,'K Değerleri'!$C$3:$E$35,3,0)</f>
        <v>0</v>
      </c>
      <c r="Q280" s="35">
        <f>VLOOKUP(B280,'K Değerleri'!$C$3:$P$17,VLOOKUP(C280,'K Değerleri'!$E$20:$F$28,2,0),0)</f>
        <v>0</v>
      </c>
      <c r="R280" s="315">
        <f t="shared" si="43"/>
        <v>0</v>
      </c>
      <c r="S280" s="316"/>
      <c r="T280" s="29">
        <f t="shared" si="44"/>
        <v>0</v>
      </c>
    </row>
    <row r="281" spans="2:20" s="77" customFormat="1" ht="18" customHeight="1">
      <c r="B281" s="32"/>
      <c r="C281" s="75"/>
      <c r="D281" s="8"/>
      <c r="E281" s="8"/>
      <c r="F281" s="19">
        <f t="shared" si="42"/>
        <v>0</v>
      </c>
      <c r="G281" s="9"/>
      <c r="H281" s="171">
        <f t="shared" si="45"/>
        <v>0</v>
      </c>
      <c r="I281" s="243">
        <f>IF(B281="Dp",VLOOKUP(C281,'Güneş Şiddeti'!$C$126:$P$134,4,0),0)</f>
        <v>0</v>
      </c>
      <c r="J281" s="244">
        <f>IF(B281="Dp",VLOOKUP(C281,'Güneş Şiddeti'!$C$126:$P$134,8,0),0)</f>
        <v>0</v>
      </c>
      <c r="K281" s="245">
        <f>IF(B281="Dp",VLOOKUP(C281,'Güneş Şiddeti'!$C$126:$P$134,12,0),0)</f>
        <v>0</v>
      </c>
      <c r="L281" s="246">
        <f>VLOOKUP(B281,'K Değerleri'!$C$3:$G$17,5,0)</f>
        <v>0</v>
      </c>
      <c r="M281" s="25">
        <f aca="true" t="shared" si="46" ref="M281:M286">+H281*I281*L281</f>
        <v>0</v>
      </c>
      <c r="N281" s="26">
        <f aca="true" t="shared" si="47" ref="N281:N286">+H281*J281*L281</f>
        <v>0</v>
      </c>
      <c r="O281" s="27">
        <f aca="true" t="shared" si="48" ref="O281:O286">+H281*K281*L281</f>
        <v>0</v>
      </c>
      <c r="P281" s="36">
        <f>VLOOKUP(B281,'K Değerleri'!$C$3:$E$35,3,0)</f>
        <v>0</v>
      </c>
      <c r="Q281" s="35">
        <f>VLOOKUP(B281,'K Değerleri'!$C$3:$P$17,VLOOKUP(C281,'K Değerleri'!$E$20:$F$28,2,0),0)</f>
        <v>0</v>
      </c>
      <c r="R281" s="315">
        <f t="shared" si="43"/>
        <v>0</v>
      </c>
      <c r="S281" s="316"/>
      <c r="T281" s="29">
        <f t="shared" si="44"/>
        <v>0</v>
      </c>
    </row>
    <row r="282" spans="2:20" s="77" customFormat="1" ht="18" customHeight="1">
      <c r="B282" s="32"/>
      <c r="C282" s="75"/>
      <c r="D282" s="8"/>
      <c r="E282" s="8"/>
      <c r="F282" s="19">
        <f t="shared" si="42"/>
        <v>0</v>
      </c>
      <c r="G282" s="9"/>
      <c r="H282" s="171">
        <f t="shared" si="45"/>
        <v>0</v>
      </c>
      <c r="I282" s="243">
        <f>IF(B282="Dp",VLOOKUP(C282,'Güneş Şiddeti'!$C$126:$P$134,4,0),0)</f>
        <v>0</v>
      </c>
      <c r="J282" s="244">
        <f>IF(B282="Dp",VLOOKUP(C282,'Güneş Şiddeti'!$C$126:$P$134,8,0),0)</f>
        <v>0</v>
      </c>
      <c r="K282" s="245">
        <f>IF(B282="Dp",VLOOKUP(C282,'Güneş Şiddeti'!$C$126:$P$134,12,0),0)</f>
        <v>0</v>
      </c>
      <c r="L282" s="246">
        <f>VLOOKUP(B282,'K Değerleri'!$C$3:$G$17,5,0)</f>
        <v>0</v>
      </c>
      <c r="M282" s="25">
        <f t="shared" si="46"/>
        <v>0</v>
      </c>
      <c r="N282" s="26">
        <f t="shared" si="47"/>
        <v>0</v>
      </c>
      <c r="O282" s="27">
        <f t="shared" si="48"/>
        <v>0</v>
      </c>
      <c r="P282" s="36">
        <f>VLOOKUP(B282,'K Değerleri'!$C$3:$E$35,3,0)</f>
        <v>0</v>
      </c>
      <c r="Q282" s="35">
        <f>VLOOKUP(B282,'K Değerleri'!$C$3:$P$17,VLOOKUP(C282,'K Değerleri'!$E$20:$F$28,2,0),0)</f>
        <v>0</v>
      </c>
      <c r="R282" s="315">
        <f t="shared" si="43"/>
        <v>0</v>
      </c>
      <c r="S282" s="316"/>
      <c r="T282" s="29">
        <f t="shared" si="44"/>
        <v>0</v>
      </c>
    </row>
    <row r="283" spans="2:20" s="77" customFormat="1" ht="18" customHeight="1">
      <c r="B283" s="32"/>
      <c r="C283" s="75"/>
      <c r="D283" s="8"/>
      <c r="E283" s="8"/>
      <c r="F283" s="19">
        <f t="shared" si="42"/>
        <v>0</v>
      </c>
      <c r="G283" s="9"/>
      <c r="H283" s="171">
        <f t="shared" si="45"/>
        <v>0</v>
      </c>
      <c r="I283" s="243">
        <f>IF(B283="Dp",VLOOKUP(C283,'Güneş Şiddeti'!$C$126:$P$134,4,0),0)</f>
        <v>0</v>
      </c>
      <c r="J283" s="244">
        <f>IF(B283="Dp",VLOOKUP(C283,'Güneş Şiddeti'!$C$126:$P$134,8,0),0)</f>
        <v>0</v>
      </c>
      <c r="K283" s="245">
        <f>IF(B283="Dp",VLOOKUP(C283,'Güneş Şiddeti'!$C$126:$P$134,12,0),0)</f>
        <v>0</v>
      </c>
      <c r="L283" s="246">
        <f>VLOOKUP(B283,'K Değerleri'!$C$3:$G$17,5,0)</f>
        <v>0</v>
      </c>
      <c r="M283" s="25">
        <f t="shared" si="46"/>
        <v>0</v>
      </c>
      <c r="N283" s="26">
        <f t="shared" si="47"/>
        <v>0</v>
      </c>
      <c r="O283" s="27">
        <f t="shared" si="48"/>
        <v>0</v>
      </c>
      <c r="P283" s="36">
        <f>VLOOKUP(B283,'K Değerleri'!$C$3:$E$35,3,0)</f>
        <v>0</v>
      </c>
      <c r="Q283" s="35">
        <f>VLOOKUP(B283,'K Değerleri'!$C$3:$P$17,VLOOKUP(C283,'K Değerleri'!$E$20:$F$28,2,0),0)</f>
        <v>0</v>
      </c>
      <c r="R283" s="315">
        <f t="shared" si="43"/>
        <v>0</v>
      </c>
      <c r="S283" s="316"/>
      <c r="T283" s="29">
        <f t="shared" si="44"/>
        <v>0</v>
      </c>
    </row>
    <row r="284" spans="2:20" s="77" customFormat="1" ht="18" customHeight="1">
      <c r="B284" s="32"/>
      <c r="C284" s="75"/>
      <c r="D284" s="8"/>
      <c r="E284" s="8"/>
      <c r="F284" s="19">
        <f t="shared" si="42"/>
        <v>0</v>
      </c>
      <c r="G284" s="8"/>
      <c r="H284" s="171">
        <f t="shared" si="45"/>
        <v>0</v>
      </c>
      <c r="I284" s="243">
        <f>IF(B284="Dp",VLOOKUP(C284,'Güneş Şiddeti'!$C$126:$P$134,4,0),0)</f>
        <v>0</v>
      </c>
      <c r="J284" s="244">
        <f>IF(B284="Dp",VLOOKUP(C284,'Güneş Şiddeti'!$C$126:$P$134,8,0),0)</f>
        <v>0</v>
      </c>
      <c r="K284" s="245">
        <f>IF(B284="Dp",VLOOKUP(C284,'Güneş Şiddeti'!$C$126:$P$134,12,0),0)</f>
        <v>0</v>
      </c>
      <c r="L284" s="246">
        <f>VLOOKUP(B284,'K Değerleri'!$C$3:$G$17,5,0)</f>
        <v>0</v>
      </c>
      <c r="M284" s="25">
        <f t="shared" si="46"/>
        <v>0</v>
      </c>
      <c r="N284" s="26">
        <f t="shared" si="47"/>
        <v>0</v>
      </c>
      <c r="O284" s="27">
        <f t="shared" si="48"/>
        <v>0</v>
      </c>
      <c r="P284" s="36">
        <f>VLOOKUP(B284,'K Değerleri'!$C$3:$E$35,3,0)</f>
        <v>0</v>
      </c>
      <c r="Q284" s="35">
        <f>VLOOKUP(B284,'K Değerleri'!$C$3:$P$17,VLOOKUP(C284,'K Değerleri'!$E$20:$F$28,2,0),0)</f>
        <v>0</v>
      </c>
      <c r="R284" s="315">
        <f t="shared" si="43"/>
        <v>0</v>
      </c>
      <c r="S284" s="316"/>
      <c r="T284" s="29">
        <f t="shared" si="44"/>
        <v>0</v>
      </c>
    </row>
    <row r="285" spans="2:20" s="77" customFormat="1" ht="18" customHeight="1">
      <c r="B285" s="32"/>
      <c r="C285" s="75"/>
      <c r="D285" s="8"/>
      <c r="E285" s="8"/>
      <c r="F285" s="19">
        <f t="shared" si="42"/>
        <v>0</v>
      </c>
      <c r="G285" s="8"/>
      <c r="H285" s="171">
        <f t="shared" si="45"/>
        <v>0</v>
      </c>
      <c r="I285" s="243">
        <f>IF(B285="Dp",VLOOKUP(C285,'Güneş Şiddeti'!$C$126:$P$134,4,0),0)</f>
        <v>0</v>
      </c>
      <c r="J285" s="244">
        <f>IF(B285="Dp",VLOOKUP(C285,'Güneş Şiddeti'!$C$126:$P$134,8,0),0)</f>
        <v>0</v>
      </c>
      <c r="K285" s="245">
        <f>IF(B285="Dp",VLOOKUP(C285,'Güneş Şiddeti'!$C$126:$P$134,12,0),0)</f>
        <v>0</v>
      </c>
      <c r="L285" s="246">
        <f>VLOOKUP(B285,'K Değerleri'!$C$3:$G$17,5,0)</f>
        <v>0</v>
      </c>
      <c r="M285" s="25">
        <f t="shared" si="46"/>
        <v>0</v>
      </c>
      <c r="N285" s="26">
        <f t="shared" si="47"/>
        <v>0</v>
      </c>
      <c r="O285" s="27">
        <f t="shared" si="48"/>
        <v>0</v>
      </c>
      <c r="P285" s="36">
        <f>VLOOKUP(B285,'K Değerleri'!$C$3:$E$35,3,0)</f>
        <v>0</v>
      </c>
      <c r="Q285" s="35">
        <f>VLOOKUP(B285,'K Değerleri'!$C$3:$P$17,VLOOKUP(C285,'K Değerleri'!$E$20:$F$28,2,0),0)</f>
        <v>0</v>
      </c>
      <c r="R285" s="315">
        <f t="shared" si="43"/>
        <v>0</v>
      </c>
      <c r="S285" s="316"/>
      <c r="T285" s="29">
        <f t="shared" si="44"/>
        <v>0</v>
      </c>
    </row>
    <row r="286" spans="2:20" s="77" customFormat="1" ht="18" customHeight="1" thickBot="1">
      <c r="B286" s="33"/>
      <c r="C286" s="172"/>
      <c r="D286" s="10"/>
      <c r="E286" s="10"/>
      <c r="F286" s="20">
        <f t="shared" si="42"/>
        <v>0</v>
      </c>
      <c r="G286" s="255"/>
      <c r="H286" s="21">
        <f t="shared" si="45"/>
        <v>0</v>
      </c>
      <c r="I286" s="243">
        <f>IF(B286="Dp",VLOOKUP(C286,'Güneş Şiddeti'!$C$126:$P$134,4,0),0)</f>
        <v>0</v>
      </c>
      <c r="J286" s="244">
        <f>IF(B286="Dp",VLOOKUP(C286,'Güneş Şiddeti'!$C$126:$P$134,8,0),0)</f>
        <v>0</v>
      </c>
      <c r="K286" s="245">
        <f>IF(B286="Dp",VLOOKUP(C286,'Güneş Şiddeti'!$C$126:$P$134,12,0),0)</f>
        <v>0</v>
      </c>
      <c r="L286" s="246">
        <f>VLOOKUP(B286,'K Değerleri'!$C$3:$G$17,5,0)</f>
        <v>0</v>
      </c>
      <c r="M286" s="25">
        <f t="shared" si="46"/>
        <v>0</v>
      </c>
      <c r="N286" s="26">
        <f t="shared" si="47"/>
        <v>0</v>
      </c>
      <c r="O286" s="27">
        <f t="shared" si="48"/>
        <v>0</v>
      </c>
      <c r="P286" s="36">
        <f>VLOOKUP(B286,'K Değerleri'!$C$3:$E$35,3,0)</f>
        <v>0</v>
      </c>
      <c r="Q286" s="35">
        <f>VLOOKUP(B286,'K Değerleri'!$C$3:$P$17,VLOOKUP(C286,'K Değerleri'!$E$20:$F$28,2,0),0)</f>
        <v>0</v>
      </c>
      <c r="R286" s="315">
        <f t="shared" si="43"/>
        <v>0</v>
      </c>
      <c r="S286" s="316"/>
      <c r="T286" s="30">
        <f t="shared" si="44"/>
        <v>0</v>
      </c>
    </row>
    <row r="287" spans="2:20" s="77" customFormat="1" ht="18" customHeight="1" thickBot="1">
      <c r="B287" s="89"/>
      <c r="C287" s="90"/>
      <c r="D287" s="90"/>
      <c r="E287" s="90"/>
      <c r="F287" s="90"/>
      <c r="G287" s="90"/>
      <c r="H287" s="90"/>
      <c r="I287" s="91"/>
      <c r="J287" s="92"/>
      <c r="K287" s="92"/>
      <c r="L287" s="93" t="s">
        <v>14</v>
      </c>
      <c r="M287" s="251">
        <f>SUM(M276:M286)</f>
        <v>4897.241379310345</v>
      </c>
      <c r="N287" s="252">
        <f>SUM(N276:N286)</f>
        <v>614.4827586206898</v>
      </c>
      <c r="O287" s="253">
        <f>SUM(O276:O286)</f>
        <v>474.82758620689657</v>
      </c>
      <c r="P287" s="92"/>
      <c r="Q287" s="92"/>
      <c r="R287" s="92"/>
      <c r="S287" s="93" t="s">
        <v>15</v>
      </c>
      <c r="T287" s="94">
        <f>SUM(T276:T286)</f>
        <v>729.78</v>
      </c>
    </row>
    <row r="288" spans="2:20" s="77" customFormat="1" ht="18" customHeight="1" thickBot="1">
      <c r="B288" s="86" t="s">
        <v>16</v>
      </c>
      <c r="C288" s="87"/>
      <c r="D288" s="87"/>
      <c r="E288" s="87"/>
      <c r="F288" s="87"/>
      <c r="G288" s="87"/>
      <c r="H288" s="87"/>
      <c r="I288" s="87"/>
      <c r="J288" s="87"/>
      <c r="K288" s="87"/>
      <c r="L288" s="90"/>
      <c r="M288" s="90"/>
      <c r="N288" s="90"/>
      <c r="O288" s="90"/>
      <c r="P288" s="90"/>
      <c r="Q288" s="90"/>
      <c r="R288" s="90"/>
      <c r="S288" s="90"/>
      <c r="T288" s="109"/>
    </row>
    <row r="289" spans="2:25" s="77" customFormat="1" ht="18" customHeight="1">
      <c r="B289" s="282" t="s">
        <v>17</v>
      </c>
      <c r="C289" s="283"/>
      <c r="D289" s="283"/>
      <c r="E289" s="283"/>
      <c r="F289" s="283"/>
      <c r="G289" s="283" t="s">
        <v>21</v>
      </c>
      <c r="H289" s="283"/>
      <c r="I289" s="311"/>
      <c r="J289" s="301" t="s">
        <v>170</v>
      </c>
      <c r="K289" s="302"/>
      <c r="L289" s="96">
        <v>6</v>
      </c>
      <c r="M289" s="95" t="s">
        <v>23</v>
      </c>
      <c r="N289" s="301" t="s">
        <v>174</v>
      </c>
      <c r="O289" s="302"/>
      <c r="P289" s="76">
        <f>VLOOKUP(Y289,İnsan!$A$8:$D$21,3,0)</f>
        <v>70</v>
      </c>
      <c r="Q289" s="312" t="s">
        <v>26</v>
      </c>
      <c r="R289" s="313"/>
      <c r="S289" s="313"/>
      <c r="T289" s="99">
        <f>+L289*P289</f>
        <v>420</v>
      </c>
      <c r="Y289" s="77">
        <v>4</v>
      </c>
    </row>
    <row r="290" spans="2:20" s="77" customFormat="1" ht="18" customHeight="1">
      <c r="B290" s="274" t="s">
        <v>18</v>
      </c>
      <c r="C290" s="275"/>
      <c r="D290" s="275"/>
      <c r="E290" s="275"/>
      <c r="F290" s="275"/>
      <c r="G290" s="275" t="s">
        <v>22</v>
      </c>
      <c r="H290" s="275"/>
      <c r="I290" s="314"/>
      <c r="J290" s="278" t="s">
        <v>173</v>
      </c>
      <c r="K290" s="279" t="s">
        <v>171</v>
      </c>
      <c r="L290" s="8"/>
      <c r="M290" s="83" t="s">
        <v>24</v>
      </c>
      <c r="N290" s="79" t="s">
        <v>177</v>
      </c>
      <c r="O290" s="82">
        <v>1</v>
      </c>
      <c r="P290" s="78" t="s">
        <v>27</v>
      </c>
      <c r="Q290" s="307" t="s">
        <v>176</v>
      </c>
      <c r="R290" s="279"/>
      <c r="S290" s="249">
        <v>0.25</v>
      </c>
      <c r="T290" s="101">
        <f>+L290*O290*S290*0.86</f>
        <v>0</v>
      </c>
    </row>
    <row r="291" spans="2:20" s="77" customFormat="1" ht="18" customHeight="1">
      <c r="B291" s="274" t="s">
        <v>19</v>
      </c>
      <c r="C291" s="275"/>
      <c r="D291" s="275"/>
      <c r="E291" s="275"/>
      <c r="F291" s="275"/>
      <c r="G291" s="308" t="s">
        <v>364</v>
      </c>
      <c r="H291" s="308"/>
      <c r="I291" s="309"/>
      <c r="J291" s="278" t="s">
        <v>172</v>
      </c>
      <c r="K291" s="279"/>
      <c r="L291" s="104"/>
      <c r="M291" s="103" t="s">
        <v>25</v>
      </c>
      <c r="N291" s="79" t="s">
        <v>178</v>
      </c>
      <c r="O291" s="87"/>
      <c r="P291" s="81">
        <v>0.1</v>
      </c>
      <c r="Q291" s="100" t="s">
        <v>179</v>
      </c>
      <c r="R291" s="80"/>
      <c r="S291" s="105">
        <f>+J269-K269</f>
        <v>13</v>
      </c>
      <c r="T291" s="101">
        <f>+L291*P291*S291*0.3</f>
        <v>0</v>
      </c>
    </row>
    <row r="292" spans="2:20" s="77" customFormat="1" ht="18" customHeight="1" thickBot="1">
      <c r="B292" s="294" t="s">
        <v>20</v>
      </c>
      <c r="C292" s="295"/>
      <c r="D292" s="295"/>
      <c r="E292" s="295"/>
      <c r="F292" s="305"/>
      <c r="G292" s="295" t="s">
        <v>361</v>
      </c>
      <c r="H292" s="295"/>
      <c r="I292" s="306"/>
      <c r="J292" s="296" t="s">
        <v>175</v>
      </c>
      <c r="K292" s="297"/>
      <c r="L292" s="10"/>
      <c r="M292" s="106" t="s">
        <v>24</v>
      </c>
      <c r="N292" s="79" t="s">
        <v>177</v>
      </c>
      <c r="O292" s="82">
        <v>1</v>
      </c>
      <c r="P292" s="78" t="s">
        <v>27</v>
      </c>
      <c r="Q292" s="307" t="s">
        <v>176</v>
      </c>
      <c r="R292" s="279"/>
      <c r="S292" s="249">
        <v>1</v>
      </c>
      <c r="T292" s="107">
        <f>+L292*O292*S292*0.86</f>
        <v>0</v>
      </c>
    </row>
    <row r="293" spans="2:20" s="77" customFormat="1" ht="18" customHeight="1" thickBot="1">
      <c r="B293" s="89"/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233"/>
      <c r="O293" s="234"/>
      <c r="P293" s="92"/>
      <c r="Q293" s="92"/>
      <c r="R293" s="92"/>
      <c r="S293" s="93" t="s">
        <v>28</v>
      </c>
      <c r="T293" s="94">
        <f>SUM(T289:T292)</f>
        <v>420</v>
      </c>
    </row>
    <row r="294" spans="2:20" s="77" customFormat="1" ht="18" customHeight="1" thickBot="1">
      <c r="B294" s="86" t="s">
        <v>29</v>
      </c>
      <c r="C294" s="87"/>
      <c r="D294" s="87"/>
      <c r="E294" s="87"/>
      <c r="F294" s="87"/>
      <c r="G294" s="87"/>
      <c r="H294" s="87"/>
      <c r="I294" s="87"/>
      <c r="J294" s="87"/>
      <c r="K294" s="87"/>
      <c r="L294" s="90"/>
      <c r="M294" s="90"/>
      <c r="N294" s="90"/>
      <c r="O294" s="90"/>
      <c r="P294" s="90"/>
      <c r="Q294" s="90"/>
      <c r="R294" s="90"/>
      <c r="S294" s="90"/>
      <c r="T294" s="109"/>
    </row>
    <row r="295" spans="2:20" s="77" customFormat="1" ht="18" customHeight="1">
      <c r="B295" s="282" t="s">
        <v>30</v>
      </c>
      <c r="C295" s="283"/>
      <c r="D295" s="283"/>
      <c r="E295" s="283"/>
      <c r="F295" s="283"/>
      <c r="G295" s="283" t="s">
        <v>21</v>
      </c>
      <c r="H295" s="283"/>
      <c r="I295" s="311"/>
      <c r="J295" s="301" t="s">
        <v>170</v>
      </c>
      <c r="K295" s="302"/>
      <c r="L295" s="76">
        <f>+L289</f>
        <v>6</v>
      </c>
      <c r="M295" s="95" t="s">
        <v>23</v>
      </c>
      <c r="N295" s="301" t="s">
        <v>174</v>
      </c>
      <c r="O295" s="302"/>
      <c r="P295" s="76">
        <f>VLOOKUP(Y289,İnsan!$A$8:$D$21,4,0)</f>
        <v>60</v>
      </c>
      <c r="Q295" s="312" t="s">
        <v>33</v>
      </c>
      <c r="R295" s="313"/>
      <c r="S295" s="313"/>
      <c r="T295" s="99">
        <f>+L295*P295</f>
        <v>360</v>
      </c>
    </row>
    <row r="296" spans="2:20" s="77" customFormat="1" ht="18" customHeight="1">
      <c r="B296" s="274" t="s">
        <v>31</v>
      </c>
      <c r="C296" s="275"/>
      <c r="D296" s="275"/>
      <c r="E296" s="275"/>
      <c r="F296" s="275"/>
      <c r="G296" s="308" t="s">
        <v>365</v>
      </c>
      <c r="H296" s="308"/>
      <c r="I296" s="309"/>
      <c r="J296" s="278" t="s">
        <v>172</v>
      </c>
      <c r="K296" s="279"/>
      <c r="L296" s="102">
        <f>+L291</f>
        <v>0</v>
      </c>
      <c r="M296" s="103" t="s">
        <v>25</v>
      </c>
      <c r="N296" s="79" t="s">
        <v>178</v>
      </c>
      <c r="O296" s="87"/>
      <c r="P296" s="250">
        <f>+P291</f>
        <v>0.1</v>
      </c>
      <c r="Q296" s="310">
        <f>+L272</f>
        <v>4.5</v>
      </c>
      <c r="R296" s="279"/>
      <c r="S296" s="128" t="s">
        <v>368</v>
      </c>
      <c r="T296" s="101">
        <f>+L296*P296*Q296*0.7</f>
        <v>0</v>
      </c>
    </row>
    <row r="297" spans="2:20" s="77" customFormat="1" ht="18" customHeight="1" thickBot="1">
      <c r="B297" s="294" t="s">
        <v>32</v>
      </c>
      <c r="C297" s="295"/>
      <c r="D297" s="295"/>
      <c r="E297" s="295"/>
      <c r="F297" s="305"/>
      <c r="G297" s="295" t="s">
        <v>361</v>
      </c>
      <c r="H297" s="295"/>
      <c r="I297" s="306"/>
      <c r="J297" s="296" t="s">
        <v>373</v>
      </c>
      <c r="K297" s="297"/>
      <c r="L297" s="10"/>
      <c r="M297" s="106" t="s">
        <v>24</v>
      </c>
      <c r="N297" s="79" t="s">
        <v>177</v>
      </c>
      <c r="O297" s="82">
        <v>1</v>
      </c>
      <c r="P297" s="78" t="s">
        <v>27</v>
      </c>
      <c r="Q297" s="307" t="s">
        <v>176</v>
      </c>
      <c r="R297" s="279"/>
      <c r="S297" s="249">
        <v>1</v>
      </c>
      <c r="T297" s="107">
        <f>+L297*O297*S297*0.86</f>
        <v>0</v>
      </c>
    </row>
    <row r="298" spans="2:20" s="77" customFormat="1" ht="18" customHeight="1" thickBot="1">
      <c r="B298" s="89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233"/>
      <c r="O298" s="234"/>
      <c r="P298" s="234"/>
      <c r="Q298" s="92"/>
      <c r="R298" s="92"/>
      <c r="S298" s="93" t="s">
        <v>34</v>
      </c>
      <c r="T298" s="94">
        <f>SUM(T295:T297)</f>
        <v>360</v>
      </c>
    </row>
    <row r="299" spans="2:20" s="77" customFormat="1" ht="18" customHeight="1" thickBot="1">
      <c r="B299" s="86" t="s">
        <v>35</v>
      </c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8"/>
    </row>
    <row r="300" spans="2:20" s="77" customFormat="1" ht="18" customHeight="1">
      <c r="B300" s="282" t="s">
        <v>19</v>
      </c>
      <c r="C300" s="283"/>
      <c r="D300" s="283"/>
      <c r="E300" s="283"/>
      <c r="F300" s="283"/>
      <c r="G300" s="97" t="s">
        <v>366</v>
      </c>
      <c r="H300" s="98"/>
      <c r="I300" s="112"/>
      <c r="J300" s="301" t="s">
        <v>172</v>
      </c>
      <c r="K300" s="302"/>
      <c r="L300" s="113">
        <f>+L291</f>
        <v>0</v>
      </c>
      <c r="M300" s="114" t="s">
        <v>25</v>
      </c>
      <c r="N300" s="303" t="s">
        <v>191</v>
      </c>
      <c r="O300" s="304"/>
      <c r="P300" s="114">
        <f>1-P291</f>
        <v>0.9</v>
      </c>
      <c r="Q300" s="301">
        <f>+L269</f>
        <v>13</v>
      </c>
      <c r="R300" s="302"/>
      <c r="S300" s="129" t="s">
        <v>369</v>
      </c>
      <c r="T300" s="99">
        <f>+L300*Q300*0.3*P300</f>
        <v>0</v>
      </c>
    </row>
    <row r="301" spans="2:20" s="77" customFormat="1" ht="18" customHeight="1" thickBot="1">
      <c r="B301" s="294" t="s">
        <v>31</v>
      </c>
      <c r="C301" s="295"/>
      <c r="D301" s="295"/>
      <c r="E301" s="295"/>
      <c r="F301" s="295"/>
      <c r="G301" s="85" t="s">
        <v>367</v>
      </c>
      <c r="H301" s="110"/>
      <c r="I301" s="111"/>
      <c r="J301" s="296" t="s">
        <v>172</v>
      </c>
      <c r="K301" s="297"/>
      <c r="L301" s="84">
        <f>+L300</f>
        <v>0</v>
      </c>
      <c r="M301" s="106" t="s">
        <v>25</v>
      </c>
      <c r="N301" s="298" t="s">
        <v>191</v>
      </c>
      <c r="O301" s="299"/>
      <c r="P301" s="106">
        <f>+P300</f>
        <v>0.9</v>
      </c>
      <c r="Q301" s="300">
        <f>+L272</f>
        <v>4.5</v>
      </c>
      <c r="R301" s="297"/>
      <c r="S301" s="130" t="s">
        <v>368</v>
      </c>
      <c r="T301" s="107">
        <f>+L301*Q301*0.7*P301</f>
        <v>0</v>
      </c>
    </row>
    <row r="302" spans="2:20" s="77" customFormat="1" ht="18" customHeight="1" thickBot="1">
      <c r="B302" s="108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91"/>
      <c r="O302" s="92"/>
      <c r="P302" s="92"/>
      <c r="Q302" s="92"/>
      <c r="R302" s="92"/>
      <c r="S302" s="115" t="s">
        <v>36</v>
      </c>
      <c r="T302" s="116">
        <f>SUM(T300:T301)</f>
        <v>0</v>
      </c>
    </row>
    <row r="303" spans="2:20" s="77" customFormat="1" ht="18" customHeight="1">
      <c r="B303" s="108" t="s">
        <v>37</v>
      </c>
      <c r="C303" s="87"/>
      <c r="D303" s="290" t="s">
        <v>39</v>
      </c>
      <c r="E303" s="293" t="s">
        <v>40</v>
      </c>
      <c r="F303" s="293"/>
      <c r="G303" s="293"/>
      <c r="H303" s="293"/>
      <c r="I303" s="117"/>
      <c r="J303" s="87" t="s">
        <v>37</v>
      </c>
      <c r="K303" s="290" t="s">
        <v>39</v>
      </c>
      <c r="L303" s="293">
        <f>MAX(M287:O287)+T287+T293+T300</f>
        <v>6047.021379310345</v>
      </c>
      <c r="M303" s="293"/>
      <c r="N303" s="293"/>
      <c r="O303" s="293"/>
      <c r="P303" s="293"/>
      <c r="Q303" s="293"/>
      <c r="R303" s="290" t="s">
        <v>39</v>
      </c>
      <c r="S303" s="290" t="s">
        <v>42</v>
      </c>
      <c r="T303" s="291">
        <f>+L303/L304</f>
        <v>0.943811643712862</v>
      </c>
    </row>
    <row r="304" spans="2:20" s="77" customFormat="1" ht="18" customHeight="1">
      <c r="B304" s="108" t="s">
        <v>38</v>
      </c>
      <c r="C304" s="87"/>
      <c r="D304" s="290"/>
      <c r="E304" s="292" t="s">
        <v>41</v>
      </c>
      <c r="F304" s="292"/>
      <c r="G304" s="292"/>
      <c r="H304" s="292"/>
      <c r="I304" s="117"/>
      <c r="J304" s="87" t="s">
        <v>38</v>
      </c>
      <c r="K304" s="290"/>
      <c r="L304" s="292">
        <f>+L303+T298+T302</f>
        <v>6407.021379310345</v>
      </c>
      <c r="M304" s="292"/>
      <c r="N304" s="292"/>
      <c r="O304" s="292"/>
      <c r="P304" s="292"/>
      <c r="Q304" s="292"/>
      <c r="R304" s="290"/>
      <c r="S304" s="290"/>
      <c r="T304" s="291"/>
    </row>
    <row r="305" spans="2:20" s="77" customFormat="1" ht="18" customHeight="1" thickBot="1">
      <c r="B305" s="108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8"/>
    </row>
    <row r="306" spans="2:20" s="77" customFormat="1" ht="18" customHeight="1">
      <c r="B306" s="89"/>
      <c r="C306" s="118" t="s">
        <v>193</v>
      </c>
      <c r="D306" s="119"/>
      <c r="E306" s="119"/>
      <c r="F306" s="120"/>
      <c r="G306" s="121">
        <v>0.3333333333333333</v>
      </c>
      <c r="H306" s="122">
        <v>0.5</v>
      </c>
      <c r="I306" s="123">
        <v>0.6666666666666666</v>
      </c>
      <c r="J306" s="90"/>
      <c r="K306" s="235" t="s">
        <v>193</v>
      </c>
      <c r="L306" s="230"/>
      <c r="M306" s="236"/>
      <c r="N306" s="237">
        <v>0.3333333333333333</v>
      </c>
      <c r="O306" s="238">
        <v>0.5</v>
      </c>
      <c r="P306" s="239">
        <v>0.6666666666666666</v>
      </c>
      <c r="Q306" s="90"/>
      <c r="R306" s="90"/>
      <c r="S306" s="90"/>
      <c r="T306" s="109"/>
    </row>
    <row r="307" spans="2:20" s="77" customFormat="1" ht="18" customHeight="1" thickBot="1">
      <c r="B307" s="89"/>
      <c r="C307" s="284" t="s">
        <v>192</v>
      </c>
      <c r="D307" s="285"/>
      <c r="E307" s="285"/>
      <c r="F307" s="286"/>
      <c r="G307" s="124">
        <f>+M287+T287+T293+T298+T302</f>
        <v>6407.021379310345</v>
      </c>
      <c r="H307" s="125">
        <f>+N287+T287+T293+T298+T302</f>
        <v>2124.26275862069</v>
      </c>
      <c r="I307" s="126">
        <f>+O287+T287+T293+T298+T302</f>
        <v>1984.6075862068965</v>
      </c>
      <c r="J307" s="90"/>
      <c r="K307" s="287" t="s">
        <v>195</v>
      </c>
      <c r="L307" s="288"/>
      <c r="M307" s="289"/>
      <c r="N307" s="240">
        <f>+G307*4</f>
        <v>25628.08551724138</v>
      </c>
      <c r="O307" s="241">
        <f>+H307*4</f>
        <v>8497.05103448276</v>
      </c>
      <c r="P307" s="242">
        <f>+I307*4</f>
        <v>7938.430344827586</v>
      </c>
      <c r="Q307" s="90"/>
      <c r="R307" s="90"/>
      <c r="S307" s="90"/>
      <c r="T307" s="109"/>
    </row>
    <row r="308" spans="2:20" s="77" customFormat="1" ht="16.5" customHeight="1" thickBot="1">
      <c r="B308" s="173"/>
      <c r="C308" s="165"/>
      <c r="D308" s="165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66"/>
    </row>
    <row r="309" spans="2:20" ht="37.5" customHeight="1">
      <c r="B309" s="267" t="s">
        <v>413</v>
      </c>
      <c r="C309" s="267"/>
      <c r="D309" s="267"/>
      <c r="E309" s="267"/>
      <c r="F309" s="267"/>
      <c r="G309" s="267"/>
      <c r="H309" s="267"/>
      <c r="I309" s="267"/>
      <c r="J309" s="267"/>
      <c r="K309" s="267"/>
      <c r="L309" s="267"/>
      <c r="M309" s="267"/>
      <c r="N309" s="267"/>
      <c r="O309" s="267"/>
      <c r="P309" s="267"/>
      <c r="Q309" s="267"/>
      <c r="R309" s="267"/>
      <c r="S309" s="267"/>
      <c r="T309" s="267"/>
    </row>
    <row r="310" ht="6.75" customHeight="1" thickBot="1"/>
    <row r="311" spans="2:20" s="77" customFormat="1" ht="16.5" customHeight="1">
      <c r="B311" s="282" t="s">
        <v>386</v>
      </c>
      <c r="C311" s="283"/>
      <c r="D311" s="283"/>
      <c r="E311" s="324" t="s">
        <v>414</v>
      </c>
      <c r="F311" s="324"/>
      <c r="G311" s="325"/>
      <c r="H311" s="344" t="s">
        <v>181</v>
      </c>
      <c r="I311" s="158" t="s">
        <v>13</v>
      </c>
      <c r="J311" s="154" t="s">
        <v>390</v>
      </c>
      <c r="K311" s="228" t="s">
        <v>391</v>
      </c>
      <c r="L311" s="154" t="s">
        <v>179</v>
      </c>
      <c r="M311" s="155" t="s">
        <v>188</v>
      </c>
      <c r="N311" s="133" t="s">
        <v>190</v>
      </c>
      <c r="O311" s="162">
        <v>2</v>
      </c>
      <c r="P311" s="163"/>
      <c r="Q311" s="229"/>
      <c r="R311" s="230"/>
      <c r="S311" s="160"/>
      <c r="T311" s="161"/>
    </row>
    <row r="312" spans="2:25" s="77" customFormat="1" ht="16.5" customHeight="1" thickBot="1">
      <c r="B312" s="274" t="s">
        <v>385</v>
      </c>
      <c r="C312" s="275"/>
      <c r="D312" s="275"/>
      <c r="E312" s="276" t="str">
        <f>VLOOKUP($Y$4,'Güneş Şiddeti'!$B$112:$C$123,2,0)</f>
        <v>Temmuz</v>
      </c>
      <c r="F312" s="276"/>
      <c r="G312" s="277"/>
      <c r="H312" s="345"/>
      <c r="I312" s="80" t="s">
        <v>387</v>
      </c>
      <c r="J312" s="81">
        <f>VLOOKUP(E314,'Dış Hava'!$B$6:$S$60,10,0)</f>
        <v>-6</v>
      </c>
      <c r="K312" s="82">
        <v>22</v>
      </c>
      <c r="L312" s="81">
        <f>-J312+K312</f>
        <v>28</v>
      </c>
      <c r="M312" s="83"/>
      <c r="N312" s="79" t="s">
        <v>184</v>
      </c>
      <c r="O312" s="254">
        <f ca="1">TODAY()</f>
        <v>43479</v>
      </c>
      <c r="P312" s="164"/>
      <c r="Q312" s="89"/>
      <c r="R312" s="90"/>
      <c r="S312" s="326"/>
      <c r="T312" s="327"/>
      <c r="Y312" s="77">
        <v>7</v>
      </c>
    </row>
    <row r="313" spans="2:25" s="77" customFormat="1" ht="16.5" customHeight="1">
      <c r="B313" s="274" t="s">
        <v>187</v>
      </c>
      <c r="C313" s="275"/>
      <c r="D313" s="275"/>
      <c r="E313" s="324" t="s">
        <v>415</v>
      </c>
      <c r="F313" s="324"/>
      <c r="G313" s="325"/>
      <c r="H313" s="345"/>
      <c r="I313" s="80" t="s">
        <v>388</v>
      </c>
      <c r="J313" s="81">
        <f>VLOOKUP(E314,'Dış Hava'!$B$6:$S$60,11,0)</f>
        <v>37</v>
      </c>
      <c r="K313" s="82">
        <v>24</v>
      </c>
      <c r="L313" s="81">
        <f>+J313-K313</f>
        <v>13</v>
      </c>
      <c r="M313" s="156"/>
      <c r="N313" s="79" t="s">
        <v>185</v>
      </c>
      <c r="O313" s="268" t="s">
        <v>414</v>
      </c>
      <c r="P313" s="269"/>
      <c r="Q313" s="89"/>
      <c r="R313" s="90"/>
      <c r="S313" s="326"/>
      <c r="T313" s="327"/>
      <c r="Y313" s="77">
        <v>13</v>
      </c>
    </row>
    <row r="314" spans="2:20" s="77" customFormat="1" ht="16.5" customHeight="1">
      <c r="B314" s="274" t="s">
        <v>0</v>
      </c>
      <c r="C314" s="275"/>
      <c r="D314" s="275"/>
      <c r="E314" s="276" t="str">
        <f>VLOOKUP($Y$5,'Dış Hava'!$A$6:$B$60,2,0)</f>
        <v>Bursa</v>
      </c>
      <c r="F314" s="276"/>
      <c r="G314" s="277"/>
      <c r="H314" s="345"/>
      <c r="I314" s="80" t="s">
        <v>389</v>
      </c>
      <c r="J314" s="81">
        <f>VLOOKUP(E314,'Dış Hava'!$B$6:$S$60,13,0)</f>
        <v>25</v>
      </c>
      <c r="K314" s="82">
        <v>18.5</v>
      </c>
      <c r="L314" s="81">
        <f>+J314-K314</f>
        <v>6.5</v>
      </c>
      <c r="M314" s="248"/>
      <c r="N314" s="79" t="s">
        <v>411</v>
      </c>
      <c r="O314" s="268" t="s">
        <v>412</v>
      </c>
      <c r="P314" s="269"/>
      <c r="Q314" s="89"/>
      <c r="R314" s="90"/>
      <c r="S314" s="347"/>
      <c r="T314" s="348"/>
    </row>
    <row r="315" spans="2:20" s="77" customFormat="1" ht="16.5" customHeight="1">
      <c r="B315" s="278" t="s">
        <v>1</v>
      </c>
      <c r="C315" s="279"/>
      <c r="D315" s="280"/>
      <c r="E315" s="281"/>
      <c r="F315" s="78" t="s">
        <v>2</v>
      </c>
      <c r="G315" s="258"/>
      <c r="H315" s="345"/>
      <c r="I315" s="80" t="s">
        <v>393</v>
      </c>
      <c r="J315" s="247">
        <f>VLOOKUP(E314,'Dış Hava'!$B$6:$S$60,15,0)/100</f>
        <v>0.38</v>
      </c>
      <c r="K315" s="153">
        <v>0.5</v>
      </c>
      <c r="L315" s="152" t="s">
        <v>392</v>
      </c>
      <c r="M315" s="83"/>
      <c r="N315" s="79" t="s">
        <v>362</v>
      </c>
      <c r="O315" s="270" t="s">
        <v>410</v>
      </c>
      <c r="P315" s="271"/>
      <c r="Q315" s="333" t="s">
        <v>372</v>
      </c>
      <c r="R315" s="334"/>
      <c r="S315" s="334"/>
      <c r="T315" s="335"/>
    </row>
    <row r="316" spans="2:20" s="77" customFormat="1" ht="16.5" customHeight="1" thickBot="1">
      <c r="B316" s="179" t="s">
        <v>186</v>
      </c>
      <c r="C316" s="84"/>
      <c r="D316" s="328" t="s">
        <v>422</v>
      </c>
      <c r="E316" s="329"/>
      <c r="F316" s="329"/>
      <c r="G316" s="330"/>
      <c r="H316" s="346"/>
      <c r="I316" s="159" t="s">
        <v>189</v>
      </c>
      <c r="J316" s="131">
        <f>VLOOKUP(E314,'Dış Hava'!$B$6:$S$60,16,0)</f>
        <v>15</v>
      </c>
      <c r="K316" s="231">
        <v>10.5</v>
      </c>
      <c r="L316" s="157">
        <f>+J316-K316</f>
        <v>4.5</v>
      </c>
      <c r="M316" s="106"/>
      <c r="N316" s="132" t="s">
        <v>180</v>
      </c>
      <c r="O316" s="272" t="s">
        <v>410</v>
      </c>
      <c r="P316" s="273"/>
      <c r="Q316" s="336"/>
      <c r="R316" s="337"/>
      <c r="S316" s="337"/>
      <c r="T316" s="338"/>
    </row>
    <row r="317" spans="2:20" s="77" customFormat="1" ht="18" customHeight="1" thickBot="1">
      <c r="B317" s="232" t="s">
        <v>3</v>
      </c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109"/>
    </row>
    <row r="318" spans="2:20" s="77" customFormat="1" ht="18" customHeight="1" thickBot="1">
      <c r="B318" s="339" t="s">
        <v>183</v>
      </c>
      <c r="C318" s="341" t="s">
        <v>4</v>
      </c>
      <c r="D318" s="341" t="s">
        <v>182</v>
      </c>
      <c r="E318" s="341" t="s">
        <v>5</v>
      </c>
      <c r="F318" s="317" t="s">
        <v>8</v>
      </c>
      <c r="G318" s="317" t="s">
        <v>9</v>
      </c>
      <c r="H318" s="319" t="s">
        <v>10</v>
      </c>
      <c r="I318" s="321" t="s">
        <v>11</v>
      </c>
      <c r="J318" s="322"/>
      <c r="K318" s="322"/>
      <c r="L318" s="322"/>
      <c r="M318" s="322"/>
      <c r="N318" s="322"/>
      <c r="O318" s="323"/>
      <c r="P318" s="321" t="s">
        <v>12</v>
      </c>
      <c r="Q318" s="322"/>
      <c r="R318" s="322"/>
      <c r="S318" s="322"/>
      <c r="T318" s="323"/>
    </row>
    <row r="319" spans="2:20" s="77" customFormat="1" ht="39.75" customHeight="1" thickBot="1">
      <c r="B319" s="340"/>
      <c r="C319" s="342"/>
      <c r="D319" s="343"/>
      <c r="E319" s="342"/>
      <c r="F319" s="318"/>
      <c r="G319" s="318"/>
      <c r="H319" s="320"/>
      <c r="I319" s="13" t="s">
        <v>168</v>
      </c>
      <c r="J319" s="14" t="s">
        <v>162</v>
      </c>
      <c r="K319" s="15" t="s">
        <v>163</v>
      </c>
      <c r="L319" s="16" t="s">
        <v>167</v>
      </c>
      <c r="M319" s="13" t="s">
        <v>164</v>
      </c>
      <c r="N319" s="14" t="s">
        <v>165</v>
      </c>
      <c r="O319" s="15" t="s">
        <v>166</v>
      </c>
      <c r="P319" s="17" t="s">
        <v>7</v>
      </c>
      <c r="Q319" s="127" t="s">
        <v>363</v>
      </c>
      <c r="R319" s="349" t="s">
        <v>48</v>
      </c>
      <c r="S319" s="350"/>
      <c r="T319" s="18" t="s">
        <v>6</v>
      </c>
    </row>
    <row r="320" spans="2:20" s="77" customFormat="1" ht="18" customHeight="1">
      <c r="B320" s="167" t="s">
        <v>396</v>
      </c>
      <c r="C320" s="168" t="s">
        <v>43</v>
      </c>
      <c r="D320" s="96">
        <f>3.5*3</f>
        <v>10.5</v>
      </c>
      <c r="E320" s="96">
        <v>2</v>
      </c>
      <c r="F320" s="169">
        <f aca="true" t="shared" si="49" ref="F320:F330">+D320*E320</f>
        <v>21</v>
      </c>
      <c r="G320" s="96"/>
      <c r="H320" s="170">
        <f>+F320-G320</f>
        <v>21</v>
      </c>
      <c r="I320" s="243">
        <f>IF(B320="Dp",VLOOKUP(C320,'Güneş Şiddeti'!$C$126:$P$134,4,0),0)</f>
        <v>29.31034482758621</v>
      </c>
      <c r="J320" s="244">
        <f>IF(B320="Dp",VLOOKUP(C320,'Güneş Şiddeti'!$C$126:$P$134,8,0),0)</f>
        <v>37.931034482758626</v>
      </c>
      <c r="K320" s="245">
        <f>IF(B320="Dp",VLOOKUP(C320,'Güneş Şiddeti'!$C$126:$P$134,12,0),0)</f>
        <v>29.31034482758621</v>
      </c>
      <c r="L320" s="246">
        <v>0.8</v>
      </c>
      <c r="M320" s="22">
        <f>+H320*I320*L320</f>
        <v>492.41379310344837</v>
      </c>
      <c r="N320" s="23">
        <f>+H320*J320*L320</f>
        <v>637.241379310345</v>
      </c>
      <c r="O320" s="24">
        <f>+H320*K320*L320</f>
        <v>492.41379310344837</v>
      </c>
      <c r="P320" s="34">
        <f>VLOOKUP(B320,'K Değerleri'!$C$3:$E$35,3,0)</f>
        <v>2.9</v>
      </c>
      <c r="Q320" s="35">
        <f>VLOOKUP(B320,'K Değerleri'!$C$3:$P$17,VLOOKUP(C320,'K Değerleri'!$E$20:$F$28,2,0),0)</f>
        <v>9</v>
      </c>
      <c r="R320" s="331">
        <f>+P320*Q320</f>
        <v>26.099999999999998</v>
      </c>
      <c r="S320" s="332"/>
      <c r="T320" s="28">
        <f>+R320*H320</f>
        <v>548.0999999999999</v>
      </c>
    </row>
    <row r="321" spans="2:20" s="77" customFormat="1" ht="18" customHeight="1">
      <c r="B321" s="32" t="s">
        <v>108</v>
      </c>
      <c r="C321" s="75" t="s">
        <v>45</v>
      </c>
      <c r="D321" s="8">
        <v>30</v>
      </c>
      <c r="E321" s="8">
        <v>1</v>
      </c>
      <c r="F321" s="19">
        <f t="shared" si="49"/>
        <v>30</v>
      </c>
      <c r="G321" s="9"/>
      <c r="H321" s="171">
        <f>+F321-G321</f>
        <v>30</v>
      </c>
      <c r="I321" s="243">
        <f>IF(B321="Dp",VLOOKUP(C321,'Güneş Şiddeti'!$C$126:$P$134,4,0),0)</f>
        <v>0</v>
      </c>
      <c r="J321" s="244">
        <f>IF(B321="Dp",VLOOKUP(C321,'Güneş Şiddeti'!$C$126:$P$134,8,0),0)</f>
        <v>0</v>
      </c>
      <c r="K321" s="245">
        <f>IF(B321="Dp",VLOOKUP(C321,'Güneş Şiddeti'!$C$126:$P$134,12,0),0)</f>
        <v>0</v>
      </c>
      <c r="L321" s="246">
        <v>1</v>
      </c>
      <c r="M321" s="25">
        <f>+H321*I321*L321</f>
        <v>0</v>
      </c>
      <c r="N321" s="26">
        <f>+H321*J321*L321</f>
        <v>0</v>
      </c>
      <c r="O321" s="27">
        <f>+H321*K321*L321</f>
        <v>0</v>
      </c>
      <c r="P321" s="36">
        <f>VLOOKUP(B321,'K Değerleri'!$C$3:$E$35,3,0)</f>
        <v>0.38</v>
      </c>
      <c r="Q321" s="35">
        <f>VLOOKUP(B321,'K Değerleri'!$C$3:$P$17,VLOOKUP(C321,'K Değerleri'!$E$20:$F$28,2,0),0)</f>
        <v>27</v>
      </c>
      <c r="R321" s="315">
        <f>+P321*Q321</f>
        <v>10.26</v>
      </c>
      <c r="S321" s="316"/>
      <c r="T321" s="29">
        <f>+R321*H321</f>
        <v>307.8</v>
      </c>
    </row>
    <row r="322" spans="2:20" s="77" customFormat="1" ht="18" customHeight="1">
      <c r="B322" s="32"/>
      <c r="C322" s="75"/>
      <c r="D322" s="8"/>
      <c r="E322" s="8"/>
      <c r="F322" s="19">
        <f t="shared" si="49"/>
        <v>0</v>
      </c>
      <c r="G322" s="9"/>
      <c r="H322" s="171">
        <f>+F322-G322</f>
        <v>0</v>
      </c>
      <c r="I322" s="243">
        <f>IF(B322="Dp",VLOOKUP(C322,'Güneş Şiddeti'!$C$126:$P$134,4,0),0)</f>
        <v>0</v>
      </c>
      <c r="J322" s="244">
        <f>IF(B322="Dp",VLOOKUP(C322,'Güneş Şiddeti'!$C$126:$P$134,8,0),0)</f>
        <v>0</v>
      </c>
      <c r="K322" s="245">
        <f>IF(B322="Dp",VLOOKUP(C322,'Güneş Şiddeti'!$C$126:$P$134,12,0),0)</f>
        <v>0</v>
      </c>
      <c r="L322" s="246"/>
      <c r="M322" s="25">
        <f>+H322*I322*L322</f>
        <v>0</v>
      </c>
      <c r="N322" s="26">
        <f>+H322*J322*L322</f>
        <v>0</v>
      </c>
      <c r="O322" s="27">
        <f>+H322*K322*L322</f>
        <v>0</v>
      </c>
      <c r="P322" s="36">
        <f>VLOOKUP(B322,'K Değerleri'!$C$3:$E$35,3,0)</f>
        <v>0</v>
      </c>
      <c r="Q322" s="35">
        <f>VLOOKUP(B322,'K Değerleri'!$C$3:$P$17,VLOOKUP(C322,'K Değerleri'!$E$20:$F$28,2,0),0)</f>
        <v>0</v>
      </c>
      <c r="R322" s="315">
        <f aca="true" t="shared" si="50" ref="R322:R330">+P322*Q322</f>
        <v>0</v>
      </c>
      <c r="S322" s="316"/>
      <c r="T322" s="29">
        <f aca="true" t="shared" si="51" ref="T322:T330">+R322*H322</f>
        <v>0</v>
      </c>
    </row>
    <row r="323" spans="2:20" s="77" customFormat="1" ht="18" customHeight="1">
      <c r="B323" s="32"/>
      <c r="C323" s="75"/>
      <c r="D323" s="8"/>
      <c r="E323" s="8"/>
      <c r="F323" s="19">
        <f t="shared" si="49"/>
        <v>0</v>
      </c>
      <c r="G323" s="9"/>
      <c r="H323" s="171">
        <f>+F323-G323</f>
        <v>0</v>
      </c>
      <c r="I323" s="243">
        <f>IF(B323="Dp",VLOOKUP(C323,'Güneş Şiddeti'!$C$126:$P$134,4,0),0)</f>
        <v>0</v>
      </c>
      <c r="J323" s="244">
        <f>IF(B323="Dp",VLOOKUP(C323,'Güneş Şiddeti'!$C$126:$P$134,8,0),0)</f>
        <v>0</v>
      </c>
      <c r="K323" s="245">
        <f>IF(B323="Dp",VLOOKUP(C323,'Güneş Şiddeti'!$C$126:$P$134,12,0),0)</f>
        <v>0</v>
      </c>
      <c r="L323" s="246">
        <f>VLOOKUP(B323,'K Değerleri'!$C$3:$G$17,5,0)</f>
        <v>0</v>
      </c>
      <c r="M323" s="25">
        <f>+H323*I323*L323</f>
        <v>0</v>
      </c>
      <c r="N323" s="26">
        <f>+H323*J323*L323</f>
        <v>0</v>
      </c>
      <c r="O323" s="27">
        <f>+H323*K323*L323</f>
        <v>0</v>
      </c>
      <c r="P323" s="36">
        <f>VLOOKUP(B323,'K Değerleri'!$C$3:$E$35,3,0)</f>
        <v>0</v>
      </c>
      <c r="Q323" s="35">
        <f>VLOOKUP(B323,'K Değerleri'!$C$3:$P$17,VLOOKUP(C323,'K Değerleri'!$E$20:$F$28,2,0),0)</f>
        <v>0</v>
      </c>
      <c r="R323" s="315">
        <f t="shared" si="50"/>
        <v>0</v>
      </c>
      <c r="S323" s="316"/>
      <c r="T323" s="29">
        <f t="shared" si="51"/>
        <v>0</v>
      </c>
    </row>
    <row r="324" spans="2:20" s="77" customFormat="1" ht="18" customHeight="1">
      <c r="B324" s="32"/>
      <c r="C324" s="75"/>
      <c r="D324" s="8"/>
      <c r="E324" s="8"/>
      <c r="F324" s="19">
        <f t="shared" si="49"/>
        <v>0</v>
      </c>
      <c r="G324" s="9"/>
      <c r="H324" s="171">
        <f aca="true" t="shared" si="52" ref="H324:H330">+F324-G324</f>
        <v>0</v>
      </c>
      <c r="I324" s="243">
        <f>IF(B324="Dp",VLOOKUP(C324,'Güneş Şiddeti'!$C$126:$P$134,4,0),0)</f>
        <v>0</v>
      </c>
      <c r="J324" s="244">
        <f>IF(B324="Dp",VLOOKUP(C324,'Güneş Şiddeti'!$C$126:$P$134,8,0),0)</f>
        <v>0</v>
      </c>
      <c r="K324" s="245">
        <f>IF(B324="Dp",VLOOKUP(C324,'Güneş Şiddeti'!$C$126:$P$134,12,0),0)</f>
        <v>0</v>
      </c>
      <c r="L324" s="246">
        <f>VLOOKUP(B324,'K Değerleri'!$C$3:$G$17,5,0)</f>
        <v>0</v>
      </c>
      <c r="M324" s="25">
        <f>+H324*I324*L324</f>
        <v>0</v>
      </c>
      <c r="N324" s="26">
        <f>+H324*J324*L324</f>
        <v>0</v>
      </c>
      <c r="O324" s="27">
        <f>+H324*K324*L324</f>
        <v>0</v>
      </c>
      <c r="P324" s="36">
        <f>VLOOKUP(B324,'K Değerleri'!$C$3:$E$35,3,0)</f>
        <v>0</v>
      </c>
      <c r="Q324" s="35">
        <f>VLOOKUP(B324,'K Değerleri'!$C$3:$P$17,VLOOKUP(C324,'K Değerleri'!$E$20:$F$28,2,0),0)</f>
        <v>0</v>
      </c>
      <c r="R324" s="315">
        <f t="shared" si="50"/>
        <v>0</v>
      </c>
      <c r="S324" s="316"/>
      <c r="T324" s="29">
        <f t="shared" si="51"/>
        <v>0</v>
      </c>
    </row>
    <row r="325" spans="2:20" s="77" customFormat="1" ht="18" customHeight="1">
      <c r="B325" s="32"/>
      <c r="C325" s="75"/>
      <c r="D325" s="8"/>
      <c r="E325" s="8"/>
      <c r="F325" s="19">
        <f t="shared" si="49"/>
        <v>0</v>
      </c>
      <c r="G325" s="9"/>
      <c r="H325" s="171">
        <f t="shared" si="52"/>
        <v>0</v>
      </c>
      <c r="I325" s="243">
        <f>IF(B325="Dp",VLOOKUP(C325,'Güneş Şiddeti'!$C$126:$P$134,4,0),0)</f>
        <v>0</v>
      </c>
      <c r="J325" s="244">
        <f>IF(B325="Dp",VLOOKUP(C325,'Güneş Şiddeti'!$C$126:$P$134,8,0),0)</f>
        <v>0</v>
      </c>
      <c r="K325" s="245">
        <f>IF(B325="Dp",VLOOKUP(C325,'Güneş Şiddeti'!$C$126:$P$134,12,0),0)</f>
        <v>0</v>
      </c>
      <c r="L325" s="246">
        <f>VLOOKUP(B325,'K Değerleri'!$C$3:$G$17,5,0)</f>
        <v>0</v>
      </c>
      <c r="M325" s="25">
        <f aca="true" t="shared" si="53" ref="M325:M330">+H325*I325*L325</f>
        <v>0</v>
      </c>
      <c r="N325" s="26">
        <f aca="true" t="shared" si="54" ref="N325:N330">+H325*J325*L325</f>
        <v>0</v>
      </c>
      <c r="O325" s="27">
        <f aca="true" t="shared" si="55" ref="O325:O330">+H325*K325*L325</f>
        <v>0</v>
      </c>
      <c r="P325" s="36">
        <f>VLOOKUP(B325,'K Değerleri'!$C$3:$E$35,3,0)</f>
        <v>0</v>
      </c>
      <c r="Q325" s="35">
        <f>VLOOKUP(B325,'K Değerleri'!$C$3:$P$17,VLOOKUP(C325,'K Değerleri'!$E$20:$F$28,2,0),0)</f>
        <v>0</v>
      </c>
      <c r="R325" s="315">
        <f t="shared" si="50"/>
        <v>0</v>
      </c>
      <c r="S325" s="316"/>
      <c r="T325" s="29">
        <f t="shared" si="51"/>
        <v>0</v>
      </c>
    </row>
    <row r="326" spans="2:20" s="77" customFormat="1" ht="18" customHeight="1">
      <c r="B326" s="32"/>
      <c r="C326" s="75"/>
      <c r="D326" s="8"/>
      <c r="E326" s="8"/>
      <c r="F326" s="19">
        <f t="shared" si="49"/>
        <v>0</v>
      </c>
      <c r="G326" s="9"/>
      <c r="H326" s="171">
        <f t="shared" si="52"/>
        <v>0</v>
      </c>
      <c r="I326" s="243">
        <f>IF(B326="Dp",VLOOKUP(C326,'Güneş Şiddeti'!$C$126:$P$134,4,0),0)</f>
        <v>0</v>
      </c>
      <c r="J326" s="244">
        <f>IF(B326="Dp",VLOOKUP(C326,'Güneş Şiddeti'!$C$126:$P$134,8,0),0)</f>
        <v>0</v>
      </c>
      <c r="K326" s="245">
        <f>IF(B326="Dp",VLOOKUP(C326,'Güneş Şiddeti'!$C$126:$P$134,12,0),0)</f>
        <v>0</v>
      </c>
      <c r="L326" s="246">
        <f>VLOOKUP(B326,'K Değerleri'!$C$3:$G$17,5,0)</f>
        <v>0</v>
      </c>
      <c r="M326" s="25">
        <f t="shared" si="53"/>
        <v>0</v>
      </c>
      <c r="N326" s="26">
        <f t="shared" si="54"/>
        <v>0</v>
      </c>
      <c r="O326" s="27">
        <f t="shared" si="55"/>
        <v>0</v>
      </c>
      <c r="P326" s="36">
        <f>VLOOKUP(B326,'K Değerleri'!$C$3:$E$35,3,0)</f>
        <v>0</v>
      </c>
      <c r="Q326" s="35">
        <f>VLOOKUP(B326,'K Değerleri'!$C$3:$P$17,VLOOKUP(C326,'K Değerleri'!$E$20:$F$28,2,0),0)</f>
        <v>0</v>
      </c>
      <c r="R326" s="315">
        <f t="shared" si="50"/>
        <v>0</v>
      </c>
      <c r="S326" s="316"/>
      <c r="T326" s="29">
        <f t="shared" si="51"/>
        <v>0</v>
      </c>
    </row>
    <row r="327" spans="2:20" s="77" customFormat="1" ht="18" customHeight="1">
      <c r="B327" s="32"/>
      <c r="C327" s="75"/>
      <c r="D327" s="8"/>
      <c r="E327" s="8"/>
      <c r="F327" s="19">
        <f t="shared" si="49"/>
        <v>0</v>
      </c>
      <c r="G327" s="9"/>
      <c r="H327" s="171">
        <f t="shared" si="52"/>
        <v>0</v>
      </c>
      <c r="I327" s="243">
        <f>IF(B327="Dp",VLOOKUP(C327,'Güneş Şiddeti'!$C$126:$P$134,4,0),0)</f>
        <v>0</v>
      </c>
      <c r="J327" s="244">
        <f>IF(B327="Dp",VLOOKUP(C327,'Güneş Şiddeti'!$C$126:$P$134,8,0),0)</f>
        <v>0</v>
      </c>
      <c r="K327" s="245">
        <f>IF(B327="Dp",VLOOKUP(C327,'Güneş Şiddeti'!$C$126:$P$134,12,0),0)</f>
        <v>0</v>
      </c>
      <c r="L327" s="246">
        <f>VLOOKUP(B327,'K Değerleri'!$C$3:$G$17,5,0)</f>
        <v>0</v>
      </c>
      <c r="M327" s="25">
        <f t="shared" si="53"/>
        <v>0</v>
      </c>
      <c r="N327" s="26">
        <f t="shared" si="54"/>
        <v>0</v>
      </c>
      <c r="O327" s="27">
        <f t="shared" si="55"/>
        <v>0</v>
      </c>
      <c r="P327" s="36">
        <f>VLOOKUP(B327,'K Değerleri'!$C$3:$E$35,3,0)</f>
        <v>0</v>
      </c>
      <c r="Q327" s="35">
        <f>VLOOKUP(B327,'K Değerleri'!$C$3:$P$17,VLOOKUP(C327,'K Değerleri'!$E$20:$F$28,2,0),0)</f>
        <v>0</v>
      </c>
      <c r="R327" s="315">
        <f t="shared" si="50"/>
        <v>0</v>
      </c>
      <c r="S327" s="316"/>
      <c r="T327" s="29">
        <f t="shared" si="51"/>
        <v>0</v>
      </c>
    </row>
    <row r="328" spans="2:20" s="77" customFormat="1" ht="18" customHeight="1">
      <c r="B328" s="32"/>
      <c r="C328" s="75"/>
      <c r="D328" s="8"/>
      <c r="E328" s="8"/>
      <c r="F328" s="19">
        <f t="shared" si="49"/>
        <v>0</v>
      </c>
      <c r="G328" s="8"/>
      <c r="H328" s="171">
        <f t="shared" si="52"/>
        <v>0</v>
      </c>
      <c r="I328" s="243">
        <f>IF(B328="Dp",VLOOKUP(C328,'Güneş Şiddeti'!$C$126:$P$134,4,0),0)</f>
        <v>0</v>
      </c>
      <c r="J328" s="244">
        <f>IF(B328="Dp",VLOOKUP(C328,'Güneş Şiddeti'!$C$126:$P$134,8,0),0)</f>
        <v>0</v>
      </c>
      <c r="K328" s="245">
        <f>IF(B328="Dp",VLOOKUP(C328,'Güneş Şiddeti'!$C$126:$P$134,12,0),0)</f>
        <v>0</v>
      </c>
      <c r="L328" s="246">
        <f>VLOOKUP(B328,'K Değerleri'!$C$3:$G$17,5,0)</f>
        <v>0</v>
      </c>
      <c r="M328" s="25">
        <f t="shared" si="53"/>
        <v>0</v>
      </c>
      <c r="N328" s="26">
        <f t="shared" si="54"/>
        <v>0</v>
      </c>
      <c r="O328" s="27">
        <f t="shared" si="55"/>
        <v>0</v>
      </c>
      <c r="P328" s="36">
        <f>VLOOKUP(B328,'K Değerleri'!$C$3:$E$35,3,0)</f>
        <v>0</v>
      </c>
      <c r="Q328" s="35">
        <f>VLOOKUP(B328,'K Değerleri'!$C$3:$P$17,VLOOKUP(C328,'K Değerleri'!$E$20:$F$28,2,0),0)</f>
        <v>0</v>
      </c>
      <c r="R328" s="315">
        <f t="shared" si="50"/>
        <v>0</v>
      </c>
      <c r="S328" s="316"/>
      <c r="T328" s="29">
        <f t="shared" si="51"/>
        <v>0</v>
      </c>
    </row>
    <row r="329" spans="2:20" s="77" customFormat="1" ht="18" customHeight="1">
      <c r="B329" s="32"/>
      <c r="C329" s="75"/>
      <c r="D329" s="8"/>
      <c r="E329" s="8"/>
      <c r="F329" s="19">
        <f t="shared" si="49"/>
        <v>0</v>
      </c>
      <c r="G329" s="8"/>
      <c r="H329" s="171">
        <f t="shared" si="52"/>
        <v>0</v>
      </c>
      <c r="I329" s="243">
        <f>IF(B329="Dp",VLOOKUP(C329,'Güneş Şiddeti'!$C$126:$P$134,4,0),0)</f>
        <v>0</v>
      </c>
      <c r="J329" s="244">
        <f>IF(B329="Dp",VLOOKUP(C329,'Güneş Şiddeti'!$C$126:$P$134,8,0),0)</f>
        <v>0</v>
      </c>
      <c r="K329" s="245">
        <f>IF(B329="Dp",VLOOKUP(C329,'Güneş Şiddeti'!$C$126:$P$134,12,0),0)</f>
        <v>0</v>
      </c>
      <c r="L329" s="246">
        <f>VLOOKUP(B329,'K Değerleri'!$C$3:$G$17,5,0)</f>
        <v>0</v>
      </c>
      <c r="M329" s="25">
        <f t="shared" si="53"/>
        <v>0</v>
      </c>
      <c r="N329" s="26">
        <f t="shared" si="54"/>
        <v>0</v>
      </c>
      <c r="O329" s="27">
        <f t="shared" si="55"/>
        <v>0</v>
      </c>
      <c r="P329" s="36">
        <f>VLOOKUP(B329,'K Değerleri'!$C$3:$E$35,3,0)</f>
        <v>0</v>
      </c>
      <c r="Q329" s="35">
        <f>VLOOKUP(B329,'K Değerleri'!$C$3:$P$17,VLOOKUP(C329,'K Değerleri'!$E$20:$F$28,2,0),0)</f>
        <v>0</v>
      </c>
      <c r="R329" s="315">
        <f t="shared" si="50"/>
        <v>0</v>
      </c>
      <c r="S329" s="316"/>
      <c r="T329" s="29">
        <f t="shared" si="51"/>
        <v>0</v>
      </c>
    </row>
    <row r="330" spans="2:20" s="77" customFormat="1" ht="18" customHeight="1" thickBot="1">
      <c r="B330" s="33"/>
      <c r="C330" s="172"/>
      <c r="D330" s="10"/>
      <c r="E330" s="10"/>
      <c r="F330" s="20">
        <f t="shared" si="49"/>
        <v>0</v>
      </c>
      <c r="G330" s="255"/>
      <c r="H330" s="21">
        <f t="shared" si="52"/>
        <v>0</v>
      </c>
      <c r="I330" s="243">
        <f>IF(B330="Dp",VLOOKUP(C330,'Güneş Şiddeti'!$C$126:$P$134,4,0),0)</f>
        <v>0</v>
      </c>
      <c r="J330" s="244">
        <f>IF(B330="Dp",VLOOKUP(C330,'Güneş Şiddeti'!$C$126:$P$134,8,0),0)</f>
        <v>0</v>
      </c>
      <c r="K330" s="245">
        <f>IF(B330="Dp",VLOOKUP(C330,'Güneş Şiddeti'!$C$126:$P$134,12,0),0)</f>
        <v>0</v>
      </c>
      <c r="L330" s="246">
        <f>VLOOKUP(B330,'K Değerleri'!$C$3:$G$17,5,0)</f>
        <v>0</v>
      </c>
      <c r="M330" s="25">
        <f t="shared" si="53"/>
        <v>0</v>
      </c>
      <c r="N330" s="26">
        <f t="shared" si="54"/>
        <v>0</v>
      </c>
      <c r="O330" s="27">
        <f t="shared" si="55"/>
        <v>0</v>
      </c>
      <c r="P330" s="36">
        <f>VLOOKUP(B330,'K Değerleri'!$C$3:$E$35,3,0)</f>
        <v>0</v>
      </c>
      <c r="Q330" s="35">
        <f>VLOOKUP(B330,'K Değerleri'!$C$3:$P$17,VLOOKUP(C330,'K Değerleri'!$E$20:$F$28,2,0),0)</f>
        <v>0</v>
      </c>
      <c r="R330" s="315">
        <f t="shared" si="50"/>
        <v>0</v>
      </c>
      <c r="S330" s="316"/>
      <c r="T330" s="30">
        <f t="shared" si="51"/>
        <v>0</v>
      </c>
    </row>
    <row r="331" spans="2:20" s="77" customFormat="1" ht="18" customHeight="1" thickBot="1">
      <c r="B331" s="89"/>
      <c r="C331" s="90"/>
      <c r="D331" s="90"/>
      <c r="E331" s="90"/>
      <c r="F331" s="90"/>
      <c r="G331" s="90"/>
      <c r="H331" s="90"/>
      <c r="I331" s="91"/>
      <c r="J331" s="92"/>
      <c r="K331" s="92"/>
      <c r="L331" s="93" t="s">
        <v>14</v>
      </c>
      <c r="M331" s="251">
        <f>SUM(M320:M330)</f>
        <v>492.41379310344837</v>
      </c>
      <c r="N331" s="252">
        <f>SUM(N320:N330)</f>
        <v>637.241379310345</v>
      </c>
      <c r="O331" s="253">
        <f>SUM(O320:O330)</f>
        <v>492.41379310344837</v>
      </c>
      <c r="P331" s="92"/>
      <c r="Q331" s="92"/>
      <c r="R331" s="92"/>
      <c r="S331" s="93" t="s">
        <v>15</v>
      </c>
      <c r="T331" s="94">
        <f>SUM(T320:T330)</f>
        <v>855.8999999999999</v>
      </c>
    </row>
    <row r="332" spans="2:20" s="77" customFormat="1" ht="18" customHeight="1" thickBot="1">
      <c r="B332" s="86" t="s">
        <v>16</v>
      </c>
      <c r="C332" s="87"/>
      <c r="D332" s="87"/>
      <c r="E332" s="87"/>
      <c r="F332" s="87"/>
      <c r="G332" s="87"/>
      <c r="H332" s="87"/>
      <c r="I332" s="87"/>
      <c r="J332" s="87"/>
      <c r="K332" s="87"/>
      <c r="L332" s="90"/>
      <c r="M332" s="90"/>
      <c r="N332" s="90"/>
      <c r="O332" s="90"/>
      <c r="P332" s="90"/>
      <c r="Q332" s="90"/>
      <c r="R332" s="90"/>
      <c r="S332" s="90"/>
      <c r="T332" s="109"/>
    </row>
    <row r="333" spans="2:25" s="77" customFormat="1" ht="18" customHeight="1">
      <c r="B333" s="282" t="s">
        <v>17</v>
      </c>
      <c r="C333" s="283"/>
      <c r="D333" s="283"/>
      <c r="E333" s="283"/>
      <c r="F333" s="283"/>
      <c r="G333" s="283" t="s">
        <v>21</v>
      </c>
      <c r="H333" s="283"/>
      <c r="I333" s="311"/>
      <c r="J333" s="301" t="s">
        <v>170</v>
      </c>
      <c r="K333" s="302"/>
      <c r="L333" s="96">
        <v>4</v>
      </c>
      <c r="M333" s="95" t="s">
        <v>23</v>
      </c>
      <c r="N333" s="301" t="s">
        <v>174</v>
      </c>
      <c r="O333" s="302"/>
      <c r="P333" s="76">
        <f>VLOOKUP(Y333,İnsan!$A$8:$D$21,3,0)</f>
        <v>70</v>
      </c>
      <c r="Q333" s="312" t="s">
        <v>26</v>
      </c>
      <c r="R333" s="313"/>
      <c r="S333" s="313"/>
      <c r="T333" s="99">
        <f>+L333*P333</f>
        <v>280</v>
      </c>
      <c r="Y333" s="77">
        <v>4</v>
      </c>
    </row>
    <row r="334" spans="2:20" s="77" customFormat="1" ht="18" customHeight="1">
      <c r="B334" s="274" t="s">
        <v>18</v>
      </c>
      <c r="C334" s="275"/>
      <c r="D334" s="275"/>
      <c r="E334" s="275"/>
      <c r="F334" s="275"/>
      <c r="G334" s="275" t="s">
        <v>22</v>
      </c>
      <c r="H334" s="275"/>
      <c r="I334" s="314"/>
      <c r="J334" s="278" t="s">
        <v>173</v>
      </c>
      <c r="K334" s="279" t="s">
        <v>171</v>
      </c>
      <c r="L334" s="8">
        <f>40*30</f>
        <v>1200</v>
      </c>
      <c r="M334" s="83" t="s">
        <v>24</v>
      </c>
      <c r="N334" s="79" t="s">
        <v>177</v>
      </c>
      <c r="O334" s="82">
        <v>1</v>
      </c>
      <c r="P334" s="78" t="s">
        <v>27</v>
      </c>
      <c r="Q334" s="307" t="s">
        <v>176</v>
      </c>
      <c r="R334" s="279"/>
      <c r="S334" s="249">
        <v>0.25</v>
      </c>
      <c r="T334" s="101">
        <f>+L334*O334*S334*0.86</f>
        <v>258</v>
      </c>
    </row>
    <row r="335" spans="2:20" s="77" customFormat="1" ht="18" customHeight="1">
      <c r="B335" s="274" t="s">
        <v>19</v>
      </c>
      <c r="C335" s="275"/>
      <c r="D335" s="275"/>
      <c r="E335" s="275"/>
      <c r="F335" s="275"/>
      <c r="G335" s="308" t="s">
        <v>364</v>
      </c>
      <c r="H335" s="308"/>
      <c r="I335" s="309"/>
      <c r="J335" s="278" t="s">
        <v>172</v>
      </c>
      <c r="K335" s="279"/>
      <c r="L335" s="104">
        <v>150</v>
      </c>
      <c r="M335" s="103" t="s">
        <v>25</v>
      </c>
      <c r="N335" s="79" t="s">
        <v>178</v>
      </c>
      <c r="O335" s="87"/>
      <c r="P335" s="81">
        <v>0.1</v>
      </c>
      <c r="Q335" s="100" t="s">
        <v>179</v>
      </c>
      <c r="R335" s="80"/>
      <c r="S335" s="105">
        <f>+J313-K313</f>
        <v>13</v>
      </c>
      <c r="T335" s="101">
        <f>+L335*P335*S335*0.3</f>
        <v>58.5</v>
      </c>
    </row>
    <row r="336" spans="2:20" s="77" customFormat="1" ht="18" customHeight="1" thickBot="1">
      <c r="B336" s="294" t="s">
        <v>20</v>
      </c>
      <c r="C336" s="295"/>
      <c r="D336" s="295"/>
      <c r="E336" s="295"/>
      <c r="F336" s="305"/>
      <c r="G336" s="295" t="s">
        <v>361</v>
      </c>
      <c r="H336" s="295"/>
      <c r="I336" s="306"/>
      <c r="J336" s="296" t="s">
        <v>175</v>
      </c>
      <c r="K336" s="297"/>
      <c r="L336" s="10">
        <v>150</v>
      </c>
      <c r="M336" s="106" t="s">
        <v>24</v>
      </c>
      <c r="N336" s="79" t="s">
        <v>177</v>
      </c>
      <c r="O336" s="82">
        <v>1</v>
      </c>
      <c r="P336" s="78" t="s">
        <v>27</v>
      </c>
      <c r="Q336" s="307" t="s">
        <v>176</v>
      </c>
      <c r="R336" s="279"/>
      <c r="S336" s="249">
        <v>1</v>
      </c>
      <c r="T336" s="107">
        <f>+L336*O336*S336*0.86</f>
        <v>129</v>
      </c>
    </row>
    <row r="337" spans="2:20" s="77" customFormat="1" ht="18" customHeight="1" thickBot="1">
      <c r="B337" s="89"/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233"/>
      <c r="O337" s="234"/>
      <c r="P337" s="92"/>
      <c r="Q337" s="92"/>
      <c r="R337" s="92"/>
      <c r="S337" s="93" t="s">
        <v>28</v>
      </c>
      <c r="T337" s="94">
        <f>SUM(T333:T336)</f>
        <v>725.5</v>
      </c>
    </row>
    <row r="338" spans="2:20" s="77" customFormat="1" ht="18" customHeight="1" thickBot="1">
      <c r="B338" s="86" t="s">
        <v>29</v>
      </c>
      <c r="C338" s="87"/>
      <c r="D338" s="87"/>
      <c r="E338" s="87"/>
      <c r="F338" s="87"/>
      <c r="G338" s="87"/>
      <c r="H338" s="87"/>
      <c r="I338" s="87"/>
      <c r="J338" s="87"/>
      <c r="K338" s="87"/>
      <c r="L338" s="90"/>
      <c r="M338" s="90"/>
      <c r="N338" s="90"/>
      <c r="O338" s="90"/>
      <c r="P338" s="90"/>
      <c r="Q338" s="90"/>
      <c r="R338" s="90"/>
      <c r="S338" s="90"/>
      <c r="T338" s="109"/>
    </row>
    <row r="339" spans="2:20" s="77" customFormat="1" ht="18" customHeight="1">
      <c r="B339" s="282" t="s">
        <v>30</v>
      </c>
      <c r="C339" s="283"/>
      <c r="D339" s="283"/>
      <c r="E339" s="283"/>
      <c r="F339" s="283"/>
      <c r="G339" s="283" t="s">
        <v>21</v>
      </c>
      <c r="H339" s="283"/>
      <c r="I339" s="311"/>
      <c r="J339" s="301" t="s">
        <v>170</v>
      </c>
      <c r="K339" s="302"/>
      <c r="L339" s="76">
        <f>+L333</f>
        <v>4</v>
      </c>
      <c r="M339" s="95" t="s">
        <v>23</v>
      </c>
      <c r="N339" s="301" t="s">
        <v>174</v>
      </c>
      <c r="O339" s="302"/>
      <c r="P339" s="76">
        <f>VLOOKUP(Y333,İnsan!$A$8:$D$21,4,0)</f>
        <v>60</v>
      </c>
      <c r="Q339" s="312" t="s">
        <v>33</v>
      </c>
      <c r="R339" s="313"/>
      <c r="S339" s="313"/>
      <c r="T339" s="99">
        <f>+L339*P339</f>
        <v>240</v>
      </c>
    </row>
    <row r="340" spans="2:20" s="77" customFormat="1" ht="18" customHeight="1">
      <c r="B340" s="274" t="s">
        <v>31</v>
      </c>
      <c r="C340" s="275"/>
      <c r="D340" s="275"/>
      <c r="E340" s="275"/>
      <c r="F340" s="275"/>
      <c r="G340" s="308" t="s">
        <v>365</v>
      </c>
      <c r="H340" s="308"/>
      <c r="I340" s="309"/>
      <c r="J340" s="278" t="s">
        <v>172</v>
      </c>
      <c r="K340" s="279"/>
      <c r="L340" s="102">
        <f>+L335</f>
        <v>150</v>
      </c>
      <c r="M340" s="103" t="s">
        <v>25</v>
      </c>
      <c r="N340" s="79" t="s">
        <v>178</v>
      </c>
      <c r="O340" s="87"/>
      <c r="P340" s="250">
        <f>+P335</f>
        <v>0.1</v>
      </c>
      <c r="Q340" s="310">
        <f>+L316</f>
        <v>4.5</v>
      </c>
      <c r="R340" s="279"/>
      <c r="S340" s="128" t="s">
        <v>368</v>
      </c>
      <c r="T340" s="101">
        <f>+L340*P340*Q340*0.7</f>
        <v>47.25</v>
      </c>
    </row>
    <row r="341" spans="2:20" s="77" customFormat="1" ht="18" customHeight="1" thickBot="1">
      <c r="B341" s="294" t="s">
        <v>32</v>
      </c>
      <c r="C341" s="295"/>
      <c r="D341" s="295"/>
      <c r="E341" s="295"/>
      <c r="F341" s="305"/>
      <c r="G341" s="295" t="s">
        <v>361</v>
      </c>
      <c r="H341" s="295"/>
      <c r="I341" s="306"/>
      <c r="J341" s="296" t="s">
        <v>373</v>
      </c>
      <c r="K341" s="297"/>
      <c r="L341" s="10"/>
      <c r="M341" s="106" t="s">
        <v>24</v>
      </c>
      <c r="N341" s="79" t="s">
        <v>177</v>
      </c>
      <c r="O341" s="82">
        <v>1</v>
      </c>
      <c r="P341" s="78" t="s">
        <v>27</v>
      </c>
      <c r="Q341" s="307" t="s">
        <v>176</v>
      </c>
      <c r="R341" s="279"/>
      <c r="S341" s="249">
        <v>1</v>
      </c>
      <c r="T341" s="107">
        <f>+L341*O341*S341*0.86</f>
        <v>0</v>
      </c>
    </row>
    <row r="342" spans="2:20" s="77" customFormat="1" ht="18" customHeight="1" thickBot="1">
      <c r="B342" s="89"/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233"/>
      <c r="O342" s="234"/>
      <c r="P342" s="234"/>
      <c r="Q342" s="92"/>
      <c r="R342" s="92"/>
      <c r="S342" s="93" t="s">
        <v>34</v>
      </c>
      <c r="T342" s="94">
        <f>SUM(T339:T341)</f>
        <v>287.25</v>
      </c>
    </row>
    <row r="343" spans="2:20" s="77" customFormat="1" ht="18" customHeight="1" thickBot="1">
      <c r="B343" s="86" t="s">
        <v>35</v>
      </c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8"/>
    </row>
    <row r="344" spans="2:20" s="77" customFormat="1" ht="18" customHeight="1">
      <c r="B344" s="282" t="s">
        <v>19</v>
      </c>
      <c r="C344" s="283"/>
      <c r="D344" s="283"/>
      <c r="E344" s="283"/>
      <c r="F344" s="283"/>
      <c r="G344" s="97" t="s">
        <v>366</v>
      </c>
      <c r="H344" s="98"/>
      <c r="I344" s="112"/>
      <c r="J344" s="301" t="s">
        <v>172</v>
      </c>
      <c r="K344" s="302"/>
      <c r="L344" s="113">
        <f>+L335</f>
        <v>150</v>
      </c>
      <c r="M344" s="114" t="s">
        <v>25</v>
      </c>
      <c r="N344" s="303" t="s">
        <v>191</v>
      </c>
      <c r="O344" s="304"/>
      <c r="P344" s="114">
        <f>1-P335</f>
        <v>0.9</v>
      </c>
      <c r="Q344" s="301">
        <f>+L313</f>
        <v>13</v>
      </c>
      <c r="R344" s="302"/>
      <c r="S344" s="129" t="s">
        <v>369</v>
      </c>
      <c r="T344" s="99">
        <f>+L344*Q344*0.3*P344</f>
        <v>526.5</v>
      </c>
    </row>
    <row r="345" spans="2:20" s="77" customFormat="1" ht="18" customHeight="1" thickBot="1">
      <c r="B345" s="294" t="s">
        <v>31</v>
      </c>
      <c r="C345" s="295"/>
      <c r="D345" s="295"/>
      <c r="E345" s="295"/>
      <c r="F345" s="295"/>
      <c r="G345" s="85" t="s">
        <v>367</v>
      </c>
      <c r="H345" s="110"/>
      <c r="I345" s="111"/>
      <c r="J345" s="296" t="s">
        <v>172</v>
      </c>
      <c r="K345" s="297"/>
      <c r="L345" s="84">
        <f>+L344</f>
        <v>150</v>
      </c>
      <c r="M345" s="106" t="s">
        <v>25</v>
      </c>
      <c r="N345" s="298" t="s">
        <v>191</v>
      </c>
      <c r="O345" s="299"/>
      <c r="P345" s="106">
        <f>+P344</f>
        <v>0.9</v>
      </c>
      <c r="Q345" s="300">
        <f>+L316</f>
        <v>4.5</v>
      </c>
      <c r="R345" s="297"/>
      <c r="S345" s="130" t="s">
        <v>368</v>
      </c>
      <c r="T345" s="107">
        <f>+L345*Q345*0.7*P345</f>
        <v>425.24999999999994</v>
      </c>
    </row>
    <row r="346" spans="2:20" s="77" customFormat="1" ht="18" customHeight="1" thickBot="1">
      <c r="B346" s="108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91"/>
      <c r="O346" s="92"/>
      <c r="P346" s="92"/>
      <c r="Q346" s="92"/>
      <c r="R346" s="92"/>
      <c r="S346" s="115" t="s">
        <v>36</v>
      </c>
      <c r="T346" s="116">
        <f>SUM(T344:T345)</f>
        <v>951.75</v>
      </c>
    </row>
    <row r="347" spans="2:20" s="77" customFormat="1" ht="18" customHeight="1">
      <c r="B347" s="108" t="s">
        <v>37</v>
      </c>
      <c r="C347" s="87"/>
      <c r="D347" s="290" t="s">
        <v>39</v>
      </c>
      <c r="E347" s="293" t="s">
        <v>40</v>
      </c>
      <c r="F347" s="293"/>
      <c r="G347" s="293"/>
      <c r="H347" s="293"/>
      <c r="I347" s="117"/>
      <c r="J347" s="87" t="s">
        <v>37</v>
      </c>
      <c r="K347" s="290" t="s">
        <v>39</v>
      </c>
      <c r="L347" s="293">
        <f>MAX(M331:O331)+T331+T337+T344</f>
        <v>2745.1413793103447</v>
      </c>
      <c r="M347" s="293"/>
      <c r="N347" s="293"/>
      <c r="O347" s="293"/>
      <c r="P347" s="293"/>
      <c r="Q347" s="293"/>
      <c r="R347" s="290" t="s">
        <v>39</v>
      </c>
      <c r="S347" s="290" t="s">
        <v>42</v>
      </c>
      <c r="T347" s="291">
        <f>+L347/L348</f>
        <v>0.6890170598779125</v>
      </c>
    </row>
    <row r="348" spans="2:20" s="77" customFormat="1" ht="18" customHeight="1">
      <c r="B348" s="108" t="s">
        <v>38</v>
      </c>
      <c r="C348" s="87"/>
      <c r="D348" s="290"/>
      <c r="E348" s="292" t="s">
        <v>41</v>
      </c>
      <c r="F348" s="292"/>
      <c r="G348" s="292"/>
      <c r="H348" s="292"/>
      <c r="I348" s="117"/>
      <c r="J348" s="87" t="s">
        <v>38</v>
      </c>
      <c r="K348" s="290"/>
      <c r="L348" s="292">
        <f>+L347+T342+T346</f>
        <v>3984.1413793103447</v>
      </c>
      <c r="M348" s="292"/>
      <c r="N348" s="292"/>
      <c r="O348" s="292"/>
      <c r="P348" s="292"/>
      <c r="Q348" s="292"/>
      <c r="R348" s="290"/>
      <c r="S348" s="290"/>
      <c r="T348" s="291"/>
    </row>
    <row r="349" spans="2:20" s="77" customFormat="1" ht="18" customHeight="1" thickBot="1">
      <c r="B349" s="108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8"/>
    </row>
    <row r="350" spans="2:20" s="77" customFormat="1" ht="18" customHeight="1">
      <c r="B350" s="89"/>
      <c r="C350" s="118" t="s">
        <v>193</v>
      </c>
      <c r="D350" s="119"/>
      <c r="E350" s="119"/>
      <c r="F350" s="120"/>
      <c r="G350" s="121">
        <v>0.3333333333333333</v>
      </c>
      <c r="H350" s="122">
        <v>0.5</v>
      </c>
      <c r="I350" s="123">
        <v>0.6666666666666666</v>
      </c>
      <c r="J350" s="90"/>
      <c r="K350" s="235" t="s">
        <v>193</v>
      </c>
      <c r="L350" s="230"/>
      <c r="M350" s="236"/>
      <c r="N350" s="237">
        <v>0.3333333333333333</v>
      </c>
      <c r="O350" s="238">
        <v>0.5</v>
      </c>
      <c r="P350" s="239">
        <v>0.6666666666666666</v>
      </c>
      <c r="Q350" s="90"/>
      <c r="R350" s="90"/>
      <c r="S350" s="90"/>
      <c r="T350" s="109"/>
    </row>
    <row r="351" spans="2:20" s="77" customFormat="1" ht="18" customHeight="1" thickBot="1">
      <c r="B351" s="89"/>
      <c r="C351" s="284" t="s">
        <v>192</v>
      </c>
      <c r="D351" s="285"/>
      <c r="E351" s="285"/>
      <c r="F351" s="286"/>
      <c r="G351" s="124">
        <f>+M331+T331+T337+T342+T346</f>
        <v>3312.813793103448</v>
      </c>
      <c r="H351" s="125">
        <f>+N331+T331+T337+T342+T346</f>
        <v>3457.6413793103447</v>
      </c>
      <c r="I351" s="126">
        <f>+O331+T331+T337+T342+T346</f>
        <v>3312.813793103448</v>
      </c>
      <c r="J351" s="90"/>
      <c r="K351" s="287" t="s">
        <v>195</v>
      </c>
      <c r="L351" s="288"/>
      <c r="M351" s="289"/>
      <c r="N351" s="240">
        <f>+G351*4</f>
        <v>13251.255172413792</v>
      </c>
      <c r="O351" s="241">
        <f>+H351*4</f>
        <v>13830.565517241379</v>
      </c>
      <c r="P351" s="242">
        <f>+I351*4</f>
        <v>13251.255172413792</v>
      </c>
      <c r="Q351" s="90"/>
      <c r="R351" s="90"/>
      <c r="S351" s="90"/>
      <c r="T351" s="109"/>
    </row>
    <row r="352" spans="2:20" s="77" customFormat="1" ht="16.5" customHeight="1" thickBot="1">
      <c r="B352" s="173"/>
      <c r="C352" s="165"/>
      <c r="D352" s="165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</sheetData>
  <sheetProtection/>
  <mergeCells count="720">
    <mergeCell ref="B1:T1"/>
    <mergeCell ref="B3:D3"/>
    <mergeCell ref="E3:G3"/>
    <mergeCell ref="H3:H8"/>
    <mergeCell ref="B4:D4"/>
    <mergeCell ref="E4:G4"/>
    <mergeCell ref="S4:T4"/>
    <mergeCell ref="B5:D5"/>
    <mergeCell ref="E5:G5"/>
    <mergeCell ref="O5:P5"/>
    <mergeCell ref="O7:P7"/>
    <mergeCell ref="Q7:T8"/>
    <mergeCell ref="D8:G8"/>
    <mergeCell ref="O8:P8"/>
    <mergeCell ref="S5:T5"/>
    <mergeCell ref="B6:D6"/>
    <mergeCell ref="E6:G6"/>
    <mergeCell ref="O6:P6"/>
    <mergeCell ref="S6:T6"/>
    <mergeCell ref="B10:B11"/>
    <mergeCell ref="C10:C11"/>
    <mergeCell ref="D10:D11"/>
    <mergeCell ref="E10:E11"/>
    <mergeCell ref="B7:C7"/>
    <mergeCell ref="D7:E7"/>
    <mergeCell ref="P10:T10"/>
    <mergeCell ref="R11:S11"/>
    <mergeCell ref="R12:S12"/>
    <mergeCell ref="R13:S13"/>
    <mergeCell ref="F10:F11"/>
    <mergeCell ref="G10:G11"/>
    <mergeCell ref="H10:H11"/>
    <mergeCell ref="I10:O10"/>
    <mergeCell ref="R18:S18"/>
    <mergeCell ref="R19:S19"/>
    <mergeCell ref="R20:S20"/>
    <mergeCell ref="R21:S21"/>
    <mergeCell ref="R14:S14"/>
    <mergeCell ref="R15:S15"/>
    <mergeCell ref="R16:S16"/>
    <mergeCell ref="R17:S17"/>
    <mergeCell ref="B26:F26"/>
    <mergeCell ref="G26:I26"/>
    <mergeCell ref="J26:K26"/>
    <mergeCell ref="Q26:R26"/>
    <mergeCell ref="R22:S22"/>
    <mergeCell ref="B25:F25"/>
    <mergeCell ref="G25:I25"/>
    <mergeCell ref="J25:K25"/>
    <mergeCell ref="N25:O25"/>
    <mergeCell ref="Q25:S25"/>
    <mergeCell ref="B27:F27"/>
    <mergeCell ref="G27:I27"/>
    <mergeCell ref="J27:K27"/>
    <mergeCell ref="B28:F28"/>
    <mergeCell ref="G28:I28"/>
    <mergeCell ref="J28:K28"/>
    <mergeCell ref="Q28:R28"/>
    <mergeCell ref="B31:F31"/>
    <mergeCell ref="G31:I31"/>
    <mergeCell ref="J31:K31"/>
    <mergeCell ref="N31:O31"/>
    <mergeCell ref="Q31:S31"/>
    <mergeCell ref="B33:F33"/>
    <mergeCell ref="G33:I33"/>
    <mergeCell ref="J33:K33"/>
    <mergeCell ref="Q33:R33"/>
    <mergeCell ref="B32:F32"/>
    <mergeCell ref="G32:I32"/>
    <mergeCell ref="J32:K32"/>
    <mergeCell ref="Q32:R32"/>
    <mergeCell ref="B37:F37"/>
    <mergeCell ref="J37:K37"/>
    <mergeCell ref="N37:O37"/>
    <mergeCell ref="Q37:R37"/>
    <mergeCell ref="B36:F36"/>
    <mergeCell ref="J36:K36"/>
    <mergeCell ref="N36:O36"/>
    <mergeCell ref="Q36:R36"/>
    <mergeCell ref="B49:D49"/>
    <mergeCell ref="R39:R40"/>
    <mergeCell ref="S39:S40"/>
    <mergeCell ref="T39:T40"/>
    <mergeCell ref="E40:H40"/>
    <mergeCell ref="L40:Q40"/>
    <mergeCell ref="D39:D40"/>
    <mergeCell ref="E39:H39"/>
    <mergeCell ref="K39:K40"/>
    <mergeCell ref="L39:Q39"/>
    <mergeCell ref="S50:T50"/>
    <mergeCell ref="C43:F43"/>
    <mergeCell ref="K43:M43"/>
    <mergeCell ref="B45:T45"/>
    <mergeCell ref="B47:D47"/>
    <mergeCell ref="E47:G47"/>
    <mergeCell ref="H47:H52"/>
    <mergeCell ref="B48:D48"/>
    <mergeCell ref="E48:G48"/>
    <mergeCell ref="S48:T48"/>
    <mergeCell ref="O51:P51"/>
    <mergeCell ref="Q51:T52"/>
    <mergeCell ref="D52:G52"/>
    <mergeCell ref="O52:P52"/>
    <mergeCell ref="E49:G49"/>
    <mergeCell ref="O49:P49"/>
    <mergeCell ref="S49:T49"/>
    <mergeCell ref="B50:D50"/>
    <mergeCell ref="E50:G50"/>
    <mergeCell ref="O50:P50"/>
    <mergeCell ref="B54:B55"/>
    <mergeCell ref="C54:C55"/>
    <mergeCell ref="D54:D55"/>
    <mergeCell ref="E54:E55"/>
    <mergeCell ref="B51:C51"/>
    <mergeCell ref="D51:E51"/>
    <mergeCell ref="P54:T54"/>
    <mergeCell ref="R55:S55"/>
    <mergeCell ref="R56:S56"/>
    <mergeCell ref="R57:S57"/>
    <mergeCell ref="F54:F55"/>
    <mergeCell ref="G54:G55"/>
    <mergeCell ref="H54:H55"/>
    <mergeCell ref="I54:O54"/>
    <mergeCell ref="R62:S62"/>
    <mergeCell ref="R63:S63"/>
    <mergeCell ref="R64:S64"/>
    <mergeCell ref="R65:S65"/>
    <mergeCell ref="R58:S58"/>
    <mergeCell ref="R59:S59"/>
    <mergeCell ref="R60:S60"/>
    <mergeCell ref="R61:S61"/>
    <mergeCell ref="B70:F70"/>
    <mergeCell ref="G70:I70"/>
    <mergeCell ref="J70:K70"/>
    <mergeCell ref="Q70:R70"/>
    <mergeCell ref="R66:S66"/>
    <mergeCell ref="B69:F69"/>
    <mergeCell ref="G69:I69"/>
    <mergeCell ref="J69:K69"/>
    <mergeCell ref="N69:O69"/>
    <mergeCell ref="Q69:S69"/>
    <mergeCell ref="B71:F71"/>
    <mergeCell ref="G71:I71"/>
    <mergeCell ref="J71:K71"/>
    <mergeCell ref="B72:F72"/>
    <mergeCell ref="G72:I72"/>
    <mergeCell ref="J72:K72"/>
    <mergeCell ref="Q72:R72"/>
    <mergeCell ref="B75:F75"/>
    <mergeCell ref="G75:I75"/>
    <mergeCell ref="J75:K75"/>
    <mergeCell ref="N75:O75"/>
    <mergeCell ref="Q75:S75"/>
    <mergeCell ref="B77:F77"/>
    <mergeCell ref="G77:I77"/>
    <mergeCell ref="J77:K77"/>
    <mergeCell ref="Q77:R77"/>
    <mergeCell ref="B76:F76"/>
    <mergeCell ref="G76:I76"/>
    <mergeCell ref="J76:K76"/>
    <mergeCell ref="Q76:R76"/>
    <mergeCell ref="B81:F81"/>
    <mergeCell ref="J81:K81"/>
    <mergeCell ref="N81:O81"/>
    <mergeCell ref="Q81:R81"/>
    <mergeCell ref="B80:F80"/>
    <mergeCell ref="J80:K80"/>
    <mergeCell ref="N80:O80"/>
    <mergeCell ref="Q80:R80"/>
    <mergeCell ref="B93:D93"/>
    <mergeCell ref="R83:R84"/>
    <mergeCell ref="S83:S84"/>
    <mergeCell ref="T83:T84"/>
    <mergeCell ref="E84:H84"/>
    <mergeCell ref="L84:Q84"/>
    <mergeCell ref="D83:D84"/>
    <mergeCell ref="E83:H83"/>
    <mergeCell ref="K83:K84"/>
    <mergeCell ref="L83:Q83"/>
    <mergeCell ref="S94:T94"/>
    <mergeCell ref="C87:F87"/>
    <mergeCell ref="K87:M87"/>
    <mergeCell ref="B89:T89"/>
    <mergeCell ref="B91:D91"/>
    <mergeCell ref="E91:G91"/>
    <mergeCell ref="H91:H96"/>
    <mergeCell ref="B92:D92"/>
    <mergeCell ref="E92:G92"/>
    <mergeCell ref="S92:T92"/>
    <mergeCell ref="O95:P95"/>
    <mergeCell ref="Q95:T96"/>
    <mergeCell ref="D96:G96"/>
    <mergeCell ref="O96:P96"/>
    <mergeCell ref="E93:G93"/>
    <mergeCell ref="O93:P93"/>
    <mergeCell ref="S93:T93"/>
    <mergeCell ref="B94:D94"/>
    <mergeCell ref="E94:G94"/>
    <mergeCell ref="O94:P94"/>
    <mergeCell ref="B98:B99"/>
    <mergeCell ref="C98:C99"/>
    <mergeCell ref="D98:D99"/>
    <mergeCell ref="E98:E99"/>
    <mergeCell ref="B95:C95"/>
    <mergeCell ref="D95:E95"/>
    <mergeCell ref="P98:T98"/>
    <mergeCell ref="R99:S99"/>
    <mergeCell ref="R100:S100"/>
    <mergeCell ref="R101:S101"/>
    <mergeCell ref="F98:F99"/>
    <mergeCell ref="G98:G99"/>
    <mergeCell ref="H98:H99"/>
    <mergeCell ref="I98:O98"/>
    <mergeCell ref="R106:S106"/>
    <mergeCell ref="R107:S107"/>
    <mergeCell ref="R108:S108"/>
    <mergeCell ref="R109:S109"/>
    <mergeCell ref="R102:S102"/>
    <mergeCell ref="R103:S103"/>
    <mergeCell ref="R104:S104"/>
    <mergeCell ref="R105:S105"/>
    <mergeCell ref="B114:F114"/>
    <mergeCell ref="G114:I114"/>
    <mergeCell ref="J114:K114"/>
    <mergeCell ref="Q114:R114"/>
    <mergeCell ref="R110:S110"/>
    <mergeCell ref="B113:F113"/>
    <mergeCell ref="G113:I113"/>
    <mergeCell ref="J113:K113"/>
    <mergeCell ref="N113:O113"/>
    <mergeCell ref="Q113:S113"/>
    <mergeCell ref="B115:F115"/>
    <mergeCell ref="G115:I115"/>
    <mergeCell ref="J115:K115"/>
    <mergeCell ref="B116:F116"/>
    <mergeCell ref="G116:I116"/>
    <mergeCell ref="J116:K116"/>
    <mergeCell ref="Q116:R116"/>
    <mergeCell ref="B119:F119"/>
    <mergeCell ref="G119:I119"/>
    <mergeCell ref="J119:K119"/>
    <mergeCell ref="N119:O119"/>
    <mergeCell ref="Q119:S119"/>
    <mergeCell ref="B121:F121"/>
    <mergeCell ref="G121:I121"/>
    <mergeCell ref="J121:K121"/>
    <mergeCell ref="Q121:R121"/>
    <mergeCell ref="B120:F120"/>
    <mergeCell ref="G120:I120"/>
    <mergeCell ref="J120:K120"/>
    <mergeCell ref="Q120:R120"/>
    <mergeCell ref="B125:F125"/>
    <mergeCell ref="J125:K125"/>
    <mergeCell ref="N125:O125"/>
    <mergeCell ref="Q125:R125"/>
    <mergeCell ref="B124:F124"/>
    <mergeCell ref="J124:K124"/>
    <mergeCell ref="N124:O124"/>
    <mergeCell ref="Q124:R124"/>
    <mergeCell ref="B137:D137"/>
    <mergeCell ref="R127:R128"/>
    <mergeCell ref="S127:S128"/>
    <mergeCell ref="T127:T128"/>
    <mergeCell ref="E128:H128"/>
    <mergeCell ref="L128:Q128"/>
    <mergeCell ref="D127:D128"/>
    <mergeCell ref="E127:H127"/>
    <mergeCell ref="K127:K128"/>
    <mergeCell ref="L127:Q127"/>
    <mergeCell ref="S138:T138"/>
    <mergeCell ref="C131:F131"/>
    <mergeCell ref="K131:M131"/>
    <mergeCell ref="B133:T133"/>
    <mergeCell ref="B135:D135"/>
    <mergeCell ref="E135:G135"/>
    <mergeCell ref="H135:H140"/>
    <mergeCell ref="B136:D136"/>
    <mergeCell ref="E136:G136"/>
    <mergeCell ref="S136:T136"/>
    <mergeCell ref="O139:P139"/>
    <mergeCell ref="Q139:T140"/>
    <mergeCell ref="D140:G140"/>
    <mergeCell ref="O140:P140"/>
    <mergeCell ref="E137:G137"/>
    <mergeCell ref="O137:P137"/>
    <mergeCell ref="S137:T137"/>
    <mergeCell ref="B138:D138"/>
    <mergeCell ref="E138:G138"/>
    <mergeCell ref="O138:P138"/>
    <mergeCell ref="B142:B143"/>
    <mergeCell ref="C142:C143"/>
    <mergeCell ref="D142:D143"/>
    <mergeCell ref="E142:E143"/>
    <mergeCell ref="B139:C139"/>
    <mergeCell ref="D139:E139"/>
    <mergeCell ref="P142:T142"/>
    <mergeCell ref="R143:S143"/>
    <mergeCell ref="R144:S144"/>
    <mergeCell ref="R145:S145"/>
    <mergeCell ref="F142:F143"/>
    <mergeCell ref="G142:G143"/>
    <mergeCell ref="H142:H143"/>
    <mergeCell ref="I142:O142"/>
    <mergeCell ref="R150:S150"/>
    <mergeCell ref="R151:S151"/>
    <mergeCell ref="R152:S152"/>
    <mergeCell ref="R153:S153"/>
    <mergeCell ref="R146:S146"/>
    <mergeCell ref="R147:S147"/>
    <mergeCell ref="R148:S148"/>
    <mergeCell ref="R149:S149"/>
    <mergeCell ref="B158:F158"/>
    <mergeCell ref="G158:I158"/>
    <mergeCell ref="J158:K158"/>
    <mergeCell ref="Q158:R158"/>
    <mergeCell ref="R154:S154"/>
    <mergeCell ref="B157:F157"/>
    <mergeCell ref="G157:I157"/>
    <mergeCell ref="J157:K157"/>
    <mergeCell ref="N157:O157"/>
    <mergeCell ref="Q157:S157"/>
    <mergeCell ref="B159:F159"/>
    <mergeCell ref="G159:I159"/>
    <mergeCell ref="J159:K159"/>
    <mergeCell ref="B160:F160"/>
    <mergeCell ref="G160:I160"/>
    <mergeCell ref="J160:K160"/>
    <mergeCell ref="Q160:R160"/>
    <mergeCell ref="B163:F163"/>
    <mergeCell ref="G163:I163"/>
    <mergeCell ref="J163:K163"/>
    <mergeCell ref="N163:O163"/>
    <mergeCell ref="Q163:S163"/>
    <mergeCell ref="B165:F165"/>
    <mergeCell ref="G165:I165"/>
    <mergeCell ref="J165:K165"/>
    <mergeCell ref="Q165:R165"/>
    <mergeCell ref="B164:F164"/>
    <mergeCell ref="G164:I164"/>
    <mergeCell ref="J164:K164"/>
    <mergeCell ref="Q164:R164"/>
    <mergeCell ref="B169:F169"/>
    <mergeCell ref="J169:K169"/>
    <mergeCell ref="N169:O169"/>
    <mergeCell ref="Q169:R169"/>
    <mergeCell ref="B168:F168"/>
    <mergeCell ref="J168:K168"/>
    <mergeCell ref="N168:O168"/>
    <mergeCell ref="Q168:R168"/>
    <mergeCell ref="B181:D181"/>
    <mergeCell ref="R171:R172"/>
    <mergeCell ref="S171:S172"/>
    <mergeCell ref="T171:T172"/>
    <mergeCell ref="E172:H172"/>
    <mergeCell ref="L172:Q172"/>
    <mergeCell ref="D171:D172"/>
    <mergeCell ref="E171:H171"/>
    <mergeCell ref="K171:K172"/>
    <mergeCell ref="L171:Q171"/>
    <mergeCell ref="S182:T182"/>
    <mergeCell ref="C175:F175"/>
    <mergeCell ref="K175:M175"/>
    <mergeCell ref="B177:T177"/>
    <mergeCell ref="B179:D179"/>
    <mergeCell ref="E179:G179"/>
    <mergeCell ref="H179:H184"/>
    <mergeCell ref="B180:D180"/>
    <mergeCell ref="E180:G180"/>
    <mergeCell ref="S180:T180"/>
    <mergeCell ref="O183:P183"/>
    <mergeCell ref="Q183:T184"/>
    <mergeCell ref="D184:G184"/>
    <mergeCell ref="O184:P184"/>
    <mergeCell ref="E181:G181"/>
    <mergeCell ref="O181:P181"/>
    <mergeCell ref="S181:T181"/>
    <mergeCell ref="B182:D182"/>
    <mergeCell ref="E182:G182"/>
    <mergeCell ref="O182:P182"/>
    <mergeCell ref="B186:B187"/>
    <mergeCell ref="C186:C187"/>
    <mergeCell ref="D186:D187"/>
    <mergeCell ref="E186:E187"/>
    <mergeCell ref="B183:C183"/>
    <mergeCell ref="D183:E183"/>
    <mergeCell ref="P186:T186"/>
    <mergeCell ref="R187:S187"/>
    <mergeCell ref="R188:S188"/>
    <mergeCell ref="R189:S189"/>
    <mergeCell ref="F186:F187"/>
    <mergeCell ref="G186:G187"/>
    <mergeCell ref="H186:H187"/>
    <mergeCell ref="I186:O186"/>
    <mergeCell ref="R194:S194"/>
    <mergeCell ref="R195:S195"/>
    <mergeCell ref="R196:S196"/>
    <mergeCell ref="R197:S197"/>
    <mergeCell ref="R190:S190"/>
    <mergeCell ref="R191:S191"/>
    <mergeCell ref="R192:S192"/>
    <mergeCell ref="R193:S193"/>
    <mergeCell ref="B202:F202"/>
    <mergeCell ref="G202:I202"/>
    <mergeCell ref="J202:K202"/>
    <mergeCell ref="Q202:R202"/>
    <mergeCell ref="R198:S198"/>
    <mergeCell ref="B201:F201"/>
    <mergeCell ref="G201:I201"/>
    <mergeCell ref="J201:K201"/>
    <mergeCell ref="N201:O201"/>
    <mergeCell ref="Q201:S201"/>
    <mergeCell ref="B203:F203"/>
    <mergeCell ref="G203:I203"/>
    <mergeCell ref="J203:K203"/>
    <mergeCell ref="B204:F204"/>
    <mergeCell ref="G204:I204"/>
    <mergeCell ref="J204:K204"/>
    <mergeCell ref="Q204:R204"/>
    <mergeCell ref="B207:F207"/>
    <mergeCell ref="G207:I207"/>
    <mergeCell ref="J207:K207"/>
    <mergeCell ref="N207:O207"/>
    <mergeCell ref="Q207:S207"/>
    <mergeCell ref="B209:F209"/>
    <mergeCell ref="G209:I209"/>
    <mergeCell ref="J209:K209"/>
    <mergeCell ref="Q209:R209"/>
    <mergeCell ref="B208:F208"/>
    <mergeCell ref="G208:I208"/>
    <mergeCell ref="J208:K208"/>
    <mergeCell ref="Q208:R208"/>
    <mergeCell ref="B213:F213"/>
    <mergeCell ref="J213:K213"/>
    <mergeCell ref="N213:O213"/>
    <mergeCell ref="Q213:R213"/>
    <mergeCell ref="B212:F212"/>
    <mergeCell ref="J212:K212"/>
    <mergeCell ref="N212:O212"/>
    <mergeCell ref="Q212:R212"/>
    <mergeCell ref="B225:D225"/>
    <mergeCell ref="R215:R216"/>
    <mergeCell ref="S215:S216"/>
    <mergeCell ref="T215:T216"/>
    <mergeCell ref="E216:H216"/>
    <mergeCell ref="L216:Q216"/>
    <mergeCell ref="D215:D216"/>
    <mergeCell ref="E215:H215"/>
    <mergeCell ref="K215:K216"/>
    <mergeCell ref="L215:Q215"/>
    <mergeCell ref="S226:T226"/>
    <mergeCell ref="C219:F219"/>
    <mergeCell ref="K219:M219"/>
    <mergeCell ref="B221:T221"/>
    <mergeCell ref="B223:D223"/>
    <mergeCell ref="E223:G223"/>
    <mergeCell ref="H223:H228"/>
    <mergeCell ref="B224:D224"/>
    <mergeCell ref="E224:G224"/>
    <mergeCell ref="S224:T224"/>
    <mergeCell ref="O227:P227"/>
    <mergeCell ref="Q227:T228"/>
    <mergeCell ref="D228:G228"/>
    <mergeCell ref="O228:P228"/>
    <mergeCell ref="E225:G225"/>
    <mergeCell ref="O225:P225"/>
    <mergeCell ref="S225:T225"/>
    <mergeCell ref="B226:D226"/>
    <mergeCell ref="E226:G226"/>
    <mergeCell ref="O226:P226"/>
    <mergeCell ref="B230:B231"/>
    <mergeCell ref="C230:C231"/>
    <mergeCell ref="D230:D231"/>
    <mergeCell ref="E230:E231"/>
    <mergeCell ref="B227:C227"/>
    <mergeCell ref="D227:E227"/>
    <mergeCell ref="P230:T230"/>
    <mergeCell ref="R231:S231"/>
    <mergeCell ref="R232:S232"/>
    <mergeCell ref="R233:S233"/>
    <mergeCell ref="F230:F231"/>
    <mergeCell ref="G230:G231"/>
    <mergeCell ref="H230:H231"/>
    <mergeCell ref="I230:O230"/>
    <mergeCell ref="R238:S238"/>
    <mergeCell ref="R239:S239"/>
    <mergeCell ref="R240:S240"/>
    <mergeCell ref="R241:S241"/>
    <mergeCell ref="R234:S234"/>
    <mergeCell ref="R235:S235"/>
    <mergeCell ref="R236:S236"/>
    <mergeCell ref="R237:S237"/>
    <mergeCell ref="B246:F246"/>
    <mergeCell ref="G246:I246"/>
    <mergeCell ref="J246:K246"/>
    <mergeCell ref="Q246:R246"/>
    <mergeCell ref="R242:S242"/>
    <mergeCell ref="B245:F245"/>
    <mergeCell ref="G245:I245"/>
    <mergeCell ref="J245:K245"/>
    <mergeCell ref="N245:O245"/>
    <mergeCell ref="Q245:S245"/>
    <mergeCell ref="B247:F247"/>
    <mergeCell ref="G247:I247"/>
    <mergeCell ref="J247:K247"/>
    <mergeCell ref="B248:F248"/>
    <mergeCell ref="G248:I248"/>
    <mergeCell ref="J248:K248"/>
    <mergeCell ref="Q248:R248"/>
    <mergeCell ref="B251:F251"/>
    <mergeCell ref="G251:I251"/>
    <mergeCell ref="J251:K251"/>
    <mergeCell ref="N251:O251"/>
    <mergeCell ref="Q251:S251"/>
    <mergeCell ref="B253:F253"/>
    <mergeCell ref="G253:I253"/>
    <mergeCell ref="J253:K253"/>
    <mergeCell ref="Q253:R253"/>
    <mergeCell ref="B252:F252"/>
    <mergeCell ref="G252:I252"/>
    <mergeCell ref="J252:K252"/>
    <mergeCell ref="Q252:R252"/>
    <mergeCell ref="B257:F257"/>
    <mergeCell ref="J257:K257"/>
    <mergeCell ref="N257:O257"/>
    <mergeCell ref="Q257:R257"/>
    <mergeCell ref="B256:F256"/>
    <mergeCell ref="J256:K256"/>
    <mergeCell ref="N256:O256"/>
    <mergeCell ref="Q256:R256"/>
    <mergeCell ref="B269:D269"/>
    <mergeCell ref="R259:R260"/>
    <mergeCell ref="S259:S260"/>
    <mergeCell ref="T259:T260"/>
    <mergeCell ref="E260:H260"/>
    <mergeCell ref="L260:Q260"/>
    <mergeCell ref="D259:D260"/>
    <mergeCell ref="E259:H259"/>
    <mergeCell ref="K259:K260"/>
    <mergeCell ref="L259:Q259"/>
    <mergeCell ref="S270:T270"/>
    <mergeCell ref="C263:F263"/>
    <mergeCell ref="K263:M263"/>
    <mergeCell ref="B265:T265"/>
    <mergeCell ref="B267:D267"/>
    <mergeCell ref="E267:G267"/>
    <mergeCell ref="H267:H272"/>
    <mergeCell ref="B268:D268"/>
    <mergeCell ref="E268:G268"/>
    <mergeCell ref="S268:T268"/>
    <mergeCell ref="O271:P271"/>
    <mergeCell ref="Q271:T272"/>
    <mergeCell ref="D272:G272"/>
    <mergeCell ref="O272:P272"/>
    <mergeCell ref="E269:G269"/>
    <mergeCell ref="O269:P269"/>
    <mergeCell ref="S269:T269"/>
    <mergeCell ref="B270:D270"/>
    <mergeCell ref="E270:G270"/>
    <mergeCell ref="O270:P270"/>
    <mergeCell ref="B274:B275"/>
    <mergeCell ref="C274:C275"/>
    <mergeCell ref="D274:D275"/>
    <mergeCell ref="E274:E275"/>
    <mergeCell ref="B271:C271"/>
    <mergeCell ref="D271:E271"/>
    <mergeCell ref="P274:T274"/>
    <mergeCell ref="R275:S275"/>
    <mergeCell ref="R276:S276"/>
    <mergeCell ref="R277:S277"/>
    <mergeCell ref="F274:F275"/>
    <mergeCell ref="G274:G275"/>
    <mergeCell ref="H274:H275"/>
    <mergeCell ref="I274:O274"/>
    <mergeCell ref="R282:S282"/>
    <mergeCell ref="R283:S283"/>
    <mergeCell ref="R284:S284"/>
    <mergeCell ref="R285:S285"/>
    <mergeCell ref="R278:S278"/>
    <mergeCell ref="R279:S279"/>
    <mergeCell ref="R280:S280"/>
    <mergeCell ref="R281:S281"/>
    <mergeCell ref="B290:F290"/>
    <mergeCell ref="G290:I290"/>
    <mergeCell ref="J290:K290"/>
    <mergeCell ref="Q290:R290"/>
    <mergeCell ref="R286:S286"/>
    <mergeCell ref="B289:F289"/>
    <mergeCell ref="G289:I289"/>
    <mergeCell ref="J289:K289"/>
    <mergeCell ref="N289:O289"/>
    <mergeCell ref="Q289:S289"/>
    <mergeCell ref="B291:F291"/>
    <mergeCell ref="G291:I291"/>
    <mergeCell ref="J291:K291"/>
    <mergeCell ref="B292:F292"/>
    <mergeCell ref="G292:I292"/>
    <mergeCell ref="J292:K292"/>
    <mergeCell ref="Q292:R292"/>
    <mergeCell ref="B295:F295"/>
    <mergeCell ref="G295:I295"/>
    <mergeCell ref="J295:K295"/>
    <mergeCell ref="N295:O295"/>
    <mergeCell ref="Q295:S295"/>
    <mergeCell ref="B297:F297"/>
    <mergeCell ref="G297:I297"/>
    <mergeCell ref="J297:K297"/>
    <mergeCell ref="Q297:R297"/>
    <mergeCell ref="B296:F296"/>
    <mergeCell ref="G296:I296"/>
    <mergeCell ref="J296:K296"/>
    <mergeCell ref="Q296:R296"/>
    <mergeCell ref="B301:F301"/>
    <mergeCell ref="J301:K301"/>
    <mergeCell ref="N301:O301"/>
    <mergeCell ref="Q301:R301"/>
    <mergeCell ref="B300:F300"/>
    <mergeCell ref="J300:K300"/>
    <mergeCell ref="N300:O300"/>
    <mergeCell ref="Q300:R300"/>
    <mergeCell ref="B313:D313"/>
    <mergeCell ref="R303:R304"/>
    <mergeCell ref="S303:S304"/>
    <mergeCell ref="T303:T304"/>
    <mergeCell ref="E304:H304"/>
    <mergeCell ref="L304:Q304"/>
    <mergeCell ref="D303:D304"/>
    <mergeCell ref="E303:H303"/>
    <mergeCell ref="K303:K304"/>
    <mergeCell ref="L303:Q303"/>
    <mergeCell ref="S314:T314"/>
    <mergeCell ref="C307:F307"/>
    <mergeCell ref="K307:M307"/>
    <mergeCell ref="B309:T309"/>
    <mergeCell ref="B311:D311"/>
    <mergeCell ref="E311:G311"/>
    <mergeCell ref="H311:H316"/>
    <mergeCell ref="B312:D312"/>
    <mergeCell ref="E312:G312"/>
    <mergeCell ref="S312:T312"/>
    <mergeCell ref="O315:P315"/>
    <mergeCell ref="Q315:T316"/>
    <mergeCell ref="D316:G316"/>
    <mergeCell ref="O316:P316"/>
    <mergeCell ref="E313:G313"/>
    <mergeCell ref="O313:P313"/>
    <mergeCell ref="S313:T313"/>
    <mergeCell ref="B314:D314"/>
    <mergeCell ref="E314:G314"/>
    <mergeCell ref="O314:P314"/>
    <mergeCell ref="B318:B319"/>
    <mergeCell ref="C318:C319"/>
    <mergeCell ref="D318:D319"/>
    <mergeCell ref="E318:E319"/>
    <mergeCell ref="B315:C315"/>
    <mergeCell ref="D315:E315"/>
    <mergeCell ref="P318:T318"/>
    <mergeCell ref="R319:S319"/>
    <mergeCell ref="R320:S320"/>
    <mergeCell ref="R321:S321"/>
    <mergeCell ref="F318:F319"/>
    <mergeCell ref="G318:G319"/>
    <mergeCell ref="H318:H319"/>
    <mergeCell ref="I318:O318"/>
    <mergeCell ref="R326:S326"/>
    <mergeCell ref="R327:S327"/>
    <mergeCell ref="R328:S328"/>
    <mergeCell ref="R329:S329"/>
    <mergeCell ref="R322:S322"/>
    <mergeCell ref="R323:S323"/>
    <mergeCell ref="R324:S324"/>
    <mergeCell ref="R325:S325"/>
    <mergeCell ref="B334:F334"/>
    <mergeCell ref="G334:I334"/>
    <mergeCell ref="J334:K334"/>
    <mergeCell ref="Q334:R334"/>
    <mergeCell ref="R330:S330"/>
    <mergeCell ref="B333:F333"/>
    <mergeCell ref="G333:I333"/>
    <mergeCell ref="J333:K333"/>
    <mergeCell ref="N333:O333"/>
    <mergeCell ref="Q333:S333"/>
    <mergeCell ref="B335:F335"/>
    <mergeCell ref="G335:I335"/>
    <mergeCell ref="J335:K335"/>
    <mergeCell ref="B336:F336"/>
    <mergeCell ref="G336:I336"/>
    <mergeCell ref="J336:K336"/>
    <mergeCell ref="Q336:R336"/>
    <mergeCell ref="B339:F339"/>
    <mergeCell ref="G339:I339"/>
    <mergeCell ref="J339:K339"/>
    <mergeCell ref="N339:O339"/>
    <mergeCell ref="Q339:S339"/>
    <mergeCell ref="B341:F341"/>
    <mergeCell ref="G341:I341"/>
    <mergeCell ref="J341:K341"/>
    <mergeCell ref="Q341:R341"/>
    <mergeCell ref="B340:F340"/>
    <mergeCell ref="G340:I340"/>
    <mergeCell ref="J340:K340"/>
    <mergeCell ref="Q340:R340"/>
    <mergeCell ref="L347:Q347"/>
    <mergeCell ref="B345:F345"/>
    <mergeCell ref="J345:K345"/>
    <mergeCell ref="N345:O345"/>
    <mergeCell ref="Q345:R345"/>
    <mergeCell ref="B344:F344"/>
    <mergeCell ref="J344:K344"/>
    <mergeCell ref="N344:O344"/>
    <mergeCell ref="Q344:R344"/>
    <mergeCell ref="C351:F351"/>
    <mergeCell ref="K351:M351"/>
    <mergeCell ref="R347:R348"/>
    <mergeCell ref="S347:S348"/>
    <mergeCell ref="T347:T348"/>
    <mergeCell ref="E348:H348"/>
    <mergeCell ref="L348:Q348"/>
    <mergeCell ref="D347:D348"/>
    <mergeCell ref="E347:H347"/>
    <mergeCell ref="K347:K348"/>
  </mergeCells>
  <conditionalFormatting sqref="C12:C22 C56:C66 C100:C110 C144:C154 C188:C198 C232:C242 C276:C286 C320:C330">
    <cfRule type="expression" priority="1" dxfId="0" stopIfTrue="1">
      <formula>B12="Tv1"</formula>
    </cfRule>
    <cfRule type="expression" priority="2" dxfId="0" stopIfTrue="1">
      <formula>B12="Tv2"</formula>
    </cfRule>
  </conditionalFormatting>
  <printOptions/>
  <pageMargins left="0.75" right="0.75" top="1" bottom="1" header="0.5" footer="0.5"/>
  <pageSetup orientation="portrait" paperSize="9"/>
  <ignoredErrors>
    <ignoredError sqref="D19 D17:D18 E6 G17:G18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5:Q60"/>
  <sheetViews>
    <sheetView zoomScalePageLayoutView="0" workbookViewId="0" topLeftCell="A4">
      <selection activeCell="A18" sqref="A18:IV18"/>
    </sheetView>
  </sheetViews>
  <sheetFormatPr defaultColWidth="9.140625" defaultRowHeight="12.75"/>
  <cols>
    <col min="1" max="1" width="3.57421875" style="0" customWidth="1"/>
    <col min="2" max="2" width="10.421875" style="175" bestFit="1" customWidth="1"/>
    <col min="4" max="4" width="8.57421875" style="0" customWidth="1"/>
    <col min="5" max="5" width="8.28125" style="0" customWidth="1"/>
    <col min="6" max="6" width="6.57421875" style="1" customWidth="1"/>
    <col min="7" max="8" width="10.140625" style="0" customWidth="1"/>
    <col min="9" max="9" width="5.7109375" style="1" customWidth="1"/>
    <col min="10" max="10" width="7.00390625" style="0" bestFit="1" customWidth="1"/>
    <col min="11" max="11" width="9.7109375" style="0" customWidth="1"/>
    <col min="12" max="12" width="11.421875" style="0" customWidth="1"/>
    <col min="13" max="13" width="15.57421875" style="0" customWidth="1"/>
    <col min="14" max="14" width="10.7109375" style="0" customWidth="1"/>
    <col min="15" max="15" width="9.140625" style="1" customWidth="1"/>
    <col min="16" max="16" width="10.140625" style="0" bestFit="1" customWidth="1"/>
    <col min="17" max="17" width="11.7109375" style="0" customWidth="1"/>
  </cols>
  <sheetData>
    <row r="5" spans="2:17" s="52" customFormat="1" ht="38.25">
      <c r="B5" s="52" t="s">
        <v>308</v>
      </c>
      <c r="C5" s="52" t="s">
        <v>309</v>
      </c>
      <c r="D5" s="53" t="s">
        <v>310</v>
      </c>
      <c r="E5" s="52" t="s">
        <v>311</v>
      </c>
      <c r="F5" s="53" t="s">
        <v>152</v>
      </c>
      <c r="G5" s="52" t="s">
        <v>312</v>
      </c>
      <c r="H5" s="52" t="s">
        <v>313</v>
      </c>
      <c r="I5" s="53" t="s">
        <v>154</v>
      </c>
      <c r="J5" s="53" t="s">
        <v>314</v>
      </c>
      <c r="K5" s="54" t="s">
        <v>315</v>
      </c>
      <c r="L5" s="54" t="s">
        <v>316</v>
      </c>
      <c r="M5" s="54" t="s">
        <v>317</v>
      </c>
      <c r="N5" s="54" t="s">
        <v>318</v>
      </c>
      <c r="O5" s="54" t="s">
        <v>319</v>
      </c>
      <c r="P5" s="54" t="s">
        <v>370</v>
      </c>
      <c r="Q5" s="54" t="s">
        <v>371</v>
      </c>
    </row>
    <row r="6" spans="1:17" ht="12.75">
      <c r="A6">
        <v>1</v>
      </c>
      <c r="B6" s="174" t="s">
        <v>55</v>
      </c>
      <c r="C6" t="s">
        <v>320</v>
      </c>
      <c r="D6">
        <v>36</v>
      </c>
      <c r="E6">
        <v>59</v>
      </c>
      <c r="F6" s="1" t="s">
        <v>43</v>
      </c>
      <c r="G6">
        <v>35</v>
      </c>
      <c r="H6">
        <v>18</v>
      </c>
      <c r="I6" s="1" t="s">
        <v>44</v>
      </c>
      <c r="J6">
        <v>21</v>
      </c>
      <c r="K6">
        <v>0</v>
      </c>
      <c r="L6">
        <v>38</v>
      </c>
      <c r="M6">
        <v>12.4</v>
      </c>
      <c r="N6">
        <v>26</v>
      </c>
      <c r="O6" s="1" t="s">
        <v>321</v>
      </c>
      <c r="P6" s="1">
        <v>39</v>
      </c>
      <c r="Q6">
        <v>16.25</v>
      </c>
    </row>
    <row r="7" spans="1:17" ht="12.75">
      <c r="A7">
        <v>2</v>
      </c>
      <c r="B7" s="174" t="s">
        <v>57</v>
      </c>
      <c r="C7" t="s">
        <v>320</v>
      </c>
      <c r="D7">
        <v>40</v>
      </c>
      <c r="E7">
        <v>5</v>
      </c>
      <c r="F7" s="1" t="s">
        <v>43</v>
      </c>
      <c r="G7">
        <v>39</v>
      </c>
      <c r="H7">
        <v>43</v>
      </c>
      <c r="I7" s="1" t="s">
        <v>44</v>
      </c>
      <c r="J7">
        <v>0</v>
      </c>
      <c r="K7">
        <v>-3</v>
      </c>
      <c r="L7">
        <v>35</v>
      </c>
      <c r="M7">
        <v>0</v>
      </c>
      <c r="N7">
        <v>25</v>
      </c>
      <c r="O7" s="1" t="s">
        <v>321</v>
      </c>
      <c r="P7" s="1">
        <v>45</v>
      </c>
      <c r="Q7">
        <v>16</v>
      </c>
    </row>
    <row r="8" spans="1:17" ht="12.75">
      <c r="A8">
        <v>3</v>
      </c>
      <c r="B8" s="174" t="s">
        <v>56</v>
      </c>
      <c r="C8" t="s">
        <v>320</v>
      </c>
      <c r="D8">
        <v>38</v>
      </c>
      <c r="E8">
        <v>45</v>
      </c>
      <c r="F8" s="1" t="s">
        <v>43</v>
      </c>
      <c r="G8">
        <v>30</v>
      </c>
      <c r="H8">
        <v>32</v>
      </c>
      <c r="I8" s="1" t="s">
        <v>44</v>
      </c>
      <c r="J8">
        <v>1019</v>
      </c>
      <c r="K8">
        <v>-12</v>
      </c>
      <c r="L8">
        <v>34</v>
      </c>
      <c r="M8">
        <v>17.1</v>
      </c>
      <c r="N8">
        <v>21</v>
      </c>
      <c r="O8" s="1" t="s">
        <v>321</v>
      </c>
      <c r="P8" s="1">
        <v>31</v>
      </c>
      <c r="Q8">
        <v>10.25</v>
      </c>
    </row>
    <row r="9" spans="1:17" ht="12.75">
      <c r="A9">
        <v>4</v>
      </c>
      <c r="B9" s="174" t="s">
        <v>58</v>
      </c>
      <c r="C9" t="s">
        <v>320</v>
      </c>
      <c r="D9">
        <v>39</v>
      </c>
      <c r="E9">
        <v>57</v>
      </c>
      <c r="F9" s="1" t="s">
        <v>43</v>
      </c>
      <c r="G9">
        <v>32</v>
      </c>
      <c r="H9">
        <v>53</v>
      </c>
      <c r="I9" s="1" t="s">
        <v>44</v>
      </c>
      <c r="J9">
        <v>895</v>
      </c>
      <c r="K9">
        <v>-12</v>
      </c>
      <c r="L9">
        <v>34</v>
      </c>
      <c r="M9">
        <v>15</v>
      </c>
      <c r="N9">
        <v>20</v>
      </c>
      <c r="O9" s="1" t="s">
        <v>321</v>
      </c>
      <c r="P9" s="1">
        <v>27.5</v>
      </c>
      <c r="Q9">
        <v>8.5</v>
      </c>
    </row>
    <row r="10" spans="1:17" ht="12.75">
      <c r="A10">
        <v>5</v>
      </c>
      <c r="B10" s="174" t="s">
        <v>62</v>
      </c>
      <c r="C10" t="s">
        <v>320</v>
      </c>
      <c r="D10">
        <v>36</v>
      </c>
      <c r="E10">
        <v>15</v>
      </c>
      <c r="F10" s="1" t="s">
        <v>43</v>
      </c>
      <c r="G10">
        <v>36</v>
      </c>
      <c r="H10">
        <v>10</v>
      </c>
      <c r="I10" s="1" t="s">
        <v>44</v>
      </c>
      <c r="J10">
        <v>93</v>
      </c>
      <c r="K10">
        <v>0</v>
      </c>
      <c r="L10">
        <v>37</v>
      </c>
      <c r="M10">
        <v>7.3</v>
      </c>
      <c r="N10">
        <v>28</v>
      </c>
      <c r="O10" s="1" t="s">
        <v>321</v>
      </c>
      <c r="P10" s="1">
        <v>51</v>
      </c>
      <c r="Q10">
        <v>20.25</v>
      </c>
    </row>
    <row r="11" spans="1:17" ht="12.75">
      <c r="A11">
        <v>6</v>
      </c>
      <c r="B11" s="174" t="s">
        <v>59</v>
      </c>
      <c r="C11" t="s">
        <v>320</v>
      </c>
      <c r="D11">
        <v>36</v>
      </c>
      <c r="E11">
        <v>53</v>
      </c>
      <c r="F11" s="1" t="s">
        <v>43</v>
      </c>
      <c r="G11">
        <v>30</v>
      </c>
      <c r="H11">
        <v>42</v>
      </c>
      <c r="I11" s="1" t="s">
        <v>44</v>
      </c>
      <c r="J11">
        <v>43</v>
      </c>
      <c r="K11">
        <v>3</v>
      </c>
      <c r="L11">
        <v>39</v>
      </c>
      <c r="M11">
        <v>11.4</v>
      </c>
      <c r="N11">
        <v>28</v>
      </c>
      <c r="O11" s="1" t="s">
        <v>321</v>
      </c>
      <c r="P11" s="1">
        <v>44.5</v>
      </c>
      <c r="Q11">
        <v>19.5</v>
      </c>
    </row>
    <row r="12" spans="1:17" ht="12.75">
      <c r="A12">
        <v>7</v>
      </c>
      <c r="B12" s="174" t="s">
        <v>60</v>
      </c>
      <c r="C12" t="s">
        <v>320</v>
      </c>
      <c r="D12">
        <v>37</v>
      </c>
      <c r="E12">
        <v>40</v>
      </c>
      <c r="F12" s="1" t="s">
        <v>43</v>
      </c>
      <c r="G12">
        <v>27</v>
      </c>
      <c r="H12">
        <v>40</v>
      </c>
      <c r="I12" s="1" t="s">
        <v>44</v>
      </c>
      <c r="J12">
        <v>70</v>
      </c>
      <c r="K12">
        <v>-3</v>
      </c>
      <c r="L12">
        <v>40</v>
      </c>
      <c r="M12">
        <v>0</v>
      </c>
      <c r="N12">
        <v>26</v>
      </c>
      <c r="O12" s="1" t="s">
        <v>321</v>
      </c>
      <c r="P12" s="1">
        <v>33</v>
      </c>
      <c r="Q12">
        <v>15.5</v>
      </c>
    </row>
    <row r="13" spans="1:17" ht="12.75">
      <c r="A13">
        <v>8</v>
      </c>
      <c r="B13" s="174" t="s">
        <v>61</v>
      </c>
      <c r="C13" t="s">
        <v>320</v>
      </c>
      <c r="D13">
        <v>39</v>
      </c>
      <c r="E13">
        <v>39</v>
      </c>
      <c r="F13" s="1" t="s">
        <v>43</v>
      </c>
      <c r="G13">
        <v>27</v>
      </c>
      <c r="H13">
        <v>52</v>
      </c>
      <c r="I13" s="1" t="s">
        <v>44</v>
      </c>
      <c r="J13">
        <v>103</v>
      </c>
      <c r="K13">
        <v>-3</v>
      </c>
      <c r="L13">
        <v>37</v>
      </c>
      <c r="M13">
        <v>12.8</v>
      </c>
      <c r="N13">
        <v>25</v>
      </c>
      <c r="O13" s="1" t="s">
        <v>321</v>
      </c>
      <c r="P13" s="1">
        <v>38</v>
      </c>
      <c r="Q13">
        <v>15</v>
      </c>
    </row>
    <row r="14" spans="1:17" ht="12.75">
      <c r="A14">
        <v>9</v>
      </c>
      <c r="B14" s="174" t="s">
        <v>63</v>
      </c>
      <c r="C14" t="s">
        <v>320</v>
      </c>
      <c r="D14">
        <v>40</v>
      </c>
      <c r="E14">
        <v>21</v>
      </c>
      <c r="F14" s="1" t="s">
        <v>43</v>
      </c>
      <c r="G14">
        <v>27</v>
      </c>
      <c r="H14">
        <v>58</v>
      </c>
      <c r="I14" s="1" t="s">
        <v>44</v>
      </c>
      <c r="J14">
        <v>49</v>
      </c>
      <c r="K14">
        <v>-6</v>
      </c>
      <c r="L14">
        <v>34</v>
      </c>
      <c r="M14">
        <v>0</v>
      </c>
      <c r="N14">
        <v>25</v>
      </c>
      <c r="O14" s="1" t="s">
        <v>321</v>
      </c>
      <c r="P14" s="1">
        <v>48</v>
      </c>
      <c r="Q14">
        <v>16.25</v>
      </c>
    </row>
    <row r="15" spans="1:17" ht="12.75">
      <c r="A15">
        <v>10</v>
      </c>
      <c r="B15" s="174" t="s">
        <v>65</v>
      </c>
      <c r="C15" t="s">
        <v>320</v>
      </c>
      <c r="D15">
        <v>40</v>
      </c>
      <c r="E15">
        <v>9</v>
      </c>
      <c r="F15" s="1" t="s">
        <v>43</v>
      </c>
      <c r="G15">
        <v>49</v>
      </c>
      <c r="H15">
        <v>58</v>
      </c>
      <c r="I15" s="1" t="s">
        <v>44</v>
      </c>
      <c r="J15">
        <v>526</v>
      </c>
      <c r="K15">
        <v>-9</v>
      </c>
      <c r="L15">
        <v>34</v>
      </c>
      <c r="M15">
        <v>11.8</v>
      </c>
      <c r="N15">
        <v>23</v>
      </c>
      <c r="O15" s="1" t="s">
        <v>321</v>
      </c>
      <c r="P15" s="1">
        <v>39</v>
      </c>
      <c r="Q15">
        <v>13.25</v>
      </c>
    </row>
    <row r="16" spans="1:17" ht="12.75">
      <c r="A16">
        <v>11</v>
      </c>
      <c r="B16" s="174" t="s">
        <v>64</v>
      </c>
      <c r="C16" t="s">
        <v>320</v>
      </c>
      <c r="D16">
        <v>40</v>
      </c>
      <c r="E16">
        <v>44</v>
      </c>
      <c r="F16" s="1" t="s">
        <v>43</v>
      </c>
      <c r="G16">
        <v>31</v>
      </c>
      <c r="H16">
        <v>36</v>
      </c>
      <c r="I16" s="1" t="s">
        <v>44</v>
      </c>
      <c r="J16">
        <v>728</v>
      </c>
      <c r="K16">
        <v>-15</v>
      </c>
      <c r="L16">
        <v>33</v>
      </c>
      <c r="M16">
        <v>16</v>
      </c>
      <c r="N16">
        <v>23</v>
      </c>
      <c r="P16" s="1">
        <v>43</v>
      </c>
      <c r="Q16">
        <v>13.5</v>
      </c>
    </row>
    <row r="17" spans="1:17" ht="12.75">
      <c r="A17">
        <v>12</v>
      </c>
      <c r="B17" s="174" t="s">
        <v>66</v>
      </c>
      <c r="C17" t="s">
        <v>320</v>
      </c>
      <c r="D17">
        <v>37</v>
      </c>
      <c r="E17">
        <v>40</v>
      </c>
      <c r="F17" s="1" t="s">
        <v>43</v>
      </c>
      <c r="G17">
        <v>30</v>
      </c>
      <c r="H17">
        <v>20</v>
      </c>
      <c r="I17" s="1" t="s">
        <v>44</v>
      </c>
      <c r="J17">
        <v>1025</v>
      </c>
      <c r="K17">
        <v>-9</v>
      </c>
      <c r="L17">
        <v>36</v>
      </c>
      <c r="M17">
        <v>0</v>
      </c>
      <c r="N17">
        <v>21</v>
      </c>
      <c r="P17" s="1">
        <v>25</v>
      </c>
      <c r="Q17">
        <v>9.5</v>
      </c>
    </row>
    <row r="18" spans="1:17" ht="12.75">
      <c r="A18">
        <v>13</v>
      </c>
      <c r="B18" s="174" t="s">
        <v>47</v>
      </c>
      <c r="C18" t="s">
        <v>320</v>
      </c>
      <c r="D18">
        <v>40</v>
      </c>
      <c r="E18">
        <v>11</v>
      </c>
      <c r="F18" s="1" t="s">
        <v>43</v>
      </c>
      <c r="G18">
        <v>29</v>
      </c>
      <c r="H18">
        <v>4</v>
      </c>
      <c r="I18" s="1" t="s">
        <v>44</v>
      </c>
      <c r="J18">
        <v>99</v>
      </c>
      <c r="K18">
        <v>-6</v>
      </c>
      <c r="L18">
        <v>37</v>
      </c>
      <c r="M18">
        <v>13.7</v>
      </c>
      <c r="N18">
        <v>25</v>
      </c>
      <c r="O18" s="1" t="s">
        <v>321</v>
      </c>
      <c r="P18" s="1">
        <v>38</v>
      </c>
      <c r="Q18">
        <v>15</v>
      </c>
    </row>
    <row r="19" spans="1:17" ht="12.75">
      <c r="A19">
        <v>14</v>
      </c>
      <c r="B19" s="174" t="s">
        <v>67</v>
      </c>
      <c r="C19" t="s">
        <v>320</v>
      </c>
      <c r="D19">
        <v>40</v>
      </c>
      <c r="E19">
        <v>8</v>
      </c>
      <c r="F19" s="1" t="s">
        <v>43</v>
      </c>
      <c r="G19">
        <v>26</v>
      </c>
      <c r="H19">
        <v>24</v>
      </c>
      <c r="I19" s="1" t="s">
        <v>44</v>
      </c>
      <c r="J19">
        <v>3</v>
      </c>
      <c r="K19">
        <v>-3</v>
      </c>
      <c r="L19">
        <v>34</v>
      </c>
      <c r="M19">
        <v>11.9</v>
      </c>
      <c r="N19">
        <v>25</v>
      </c>
      <c r="O19" s="1" t="s">
        <v>321</v>
      </c>
      <c r="P19" s="1">
        <v>48</v>
      </c>
      <c r="Q19">
        <v>16.5</v>
      </c>
    </row>
    <row r="20" spans="1:17" ht="12.75">
      <c r="A20">
        <v>15</v>
      </c>
      <c r="B20" s="174" t="s">
        <v>68</v>
      </c>
      <c r="C20" t="s">
        <v>320</v>
      </c>
      <c r="D20">
        <v>40</v>
      </c>
      <c r="E20">
        <v>36</v>
      </c>
      <c r="F20" s="1" t="s">
        <v>43</v>
      </c>
      <c r="G20">
        <v>33</v>
      </c>
      <c r="H20">
        <v>37</v>
      </c>
      <c r="I20" s="1" t="s">
        <v>44</v>
      </c>
      <c r="J20">
        <v>730</v>
      </c>
      <c r="K20">
        <v>-15</v>
      </c>
      <c r="L20">
        <v>37</v>
      </c>
      <c r="M20">
        <v>0</v>
      </c>
      <c r="N20">
        <v>23</v>
      </c>
      <c r="P20" s="1">
        <v>30</v>
      </c>
      <c r="Q20">
        <v>12</v>
      </c>
    </row>
    <row r="21" spans="1:17" ht="12.75">
      <c r="A21">
        <v>16</v>
      </c>
      <c r="B21" s="174" t="s">
        <v>69</v>
      </c>
      <c r="C21" t="s">
        <v>320</v>
      </c>
      <c r="D21">
        <v>40</v>
      </c>
      <c r="E21">
        <v>33</v>
      </c>
      <c r="F21" s="1" t="s">
        <v>43</v>
      </c>
      <c r="G21">
        <v>34</v>
      </c>
      <c r="H21">
        <v>58</v>
      </c>
      <c r="I21" s="1" t="s">
        <v>44</v>
      </c>
      <c r="J21">
        <v>803</v>
      </c>
      <c r="K21">
        <v>-15</v>
      </c>
      <c r="L21">
        <v>35</v>
      </c>
      <c r="M21">
        <v>16.8</v>
      </c>
      <c r="N21">
        <v>22</v>
      </c>
      <c r="P21" s="1">
        <v>32</v>
      </c>
      <c r="Q21">
        <v>11.25</v>
      </c>
    </row>
    <row r="22" spans="1:17" ht="12.75">
      <c r="A22">
        <v>17</v>
      </c>
      <c r="B22" s="174" t="s">
        <v>70</v>
      </c>
      <c r="C22" t="s">
        <v>320</v>
      </c>
      <c r="D22">
        <v>37</v>
      </c>
      <c r="E22">
        <v>5</v>
      </c>
      <c r="F22" s="1" t="s">
        <v>43</v>
      </c>
      <c r="G22">
        <v>30</v>
      </c>
      <c r="H22">
        <v>33</v>
      </c>
      <c r="I22" s="1" t="s">
        <v>44</v>
      </c>
      <c r="J22">
        <v>0</v>
      </c>
      <c r="K22">
        <v>-6</v>
      </c>
      <c r="L22">
        <v>38</v>
      </c>
      <c r="M22">
        <v>0</v>
      </c>
      <c r="N22">
        <v>24</v>
      </c>
      <c r="P22" s="1">
        <v>32</v>
      </c>
      <c r="Q22">
        <v>13</v>
      </c>
    </row>
    <row r="23" spans="1:17" ht="12.75">
      <c r="A23">
        <v>18</v>
      </c>
      <c r="B23" s="174" t="s">
        <v>71</v>
      </c>
      <c r="C23" t="s">
        <v>320</v>
      </c>
      <c r="D23">
        <v>37</v>
      </c>
      <c r="E23">
        <v>55</v>
      </c>
      <c r="F23" s="1" t="s">
        <v>43</v>
      </c>
      <c r="G23">
        <v>40</v>
      </c>
      <c r="H23">
        <v>12</v>
      </c>
      <c r="I23" s="1" t="s">
        <v>44</v>
      </c>
      <c r="J23">
        <v>652</v>
      </c>
      <c r="K23">
        <v>-9</v>
      </c>
      <c r="L23">
        <v>43</v>
      </c>
      <c r="M23">
        <v>17.7</v>
      </c>
      <c r="N23">
        <v>23</v>
      </c>
      <c r="O23" s="1" t="s">
        <v>321</v>
      </c>
      <c r="P23" s="1">
        <v>18</v>
      </c>
      <c r="Q23">
        <v>9.5</v>
      </c>
    </row>
    <row r="24" spans="1:17" ht="12.75">
      <c r="A24">
        <v>19</v>
      </c>
      <c r="B24" s="174" t="s">
        <v>72</v>
      </c>
      <c r="C24" t="s">
        <v>320</v>
      </c>
      <c r="D24">
        <v>41</v>
      </c>
      <c r="E24">
        <v>40</v>
      </c>
      <c r="F24" s="1" t="s">
        <v>43</v>
      </c>
      <c r="G24">
        <v>26</v>
      </c>
      <c r="H24">
        <v>34</v>
      </c>
      <c r="I24" s="1" t="s">
        <v>44</v>
      </c>
      <c r="J24">
        <v>47</v>
      </c>
      <c r="K24">
        <v>-9</v>
      </c>
      <c r="L24">
        <v>37</v>
      </c>
      <c r="M24">
        <v>14.4</v>
      </c>
      <c r="N24">
        <v>25</v>
      </c>
      <c r="P24" s="1">
        <v>38</v>
      </c>
      <c r="Q24">
        <v>15</v>
      </c>
    </row>
    <row r="25" spans="1:17" ht="12.75">
      <c r="A25">
        <v>20</v>
      </c>
      <c r="B25" s="174" t="s">
        <v>73</v>
      </c>
      <c r="C25" t="s">
        <v>320</v>
      </c>
      <c r="D25">
        <v>38</v>
      </c>
      <c r="E25">
        <v>40</v>
      </c>
      <c r="F25" s="1" t="s">
        <v>43</v>
      </c>
      <c r="G25">
        <v>39</v>
      </c>
      <c r="H25">
        <v>13</v>
      </c>
      <c r="I25" s="1" t="s">
        <v>44</v>
      </c>
      <c r="J25">
        <v>1090</v>
      </c>
      <c r="K25">
        <v>-12</v>
      </c>
      <c r="L25">
        <v>38</v>
      </c>
      <c r="M25">
        <v>13.9</v>
      </c>
      <c r="N25">
        <v>21</v>
      </c>
      <c r="P25" s="1">
        <v>21</v>
      </c>
      <c r="Q25">
        <v>8.75</v>
      </c>
    </row>
    <row r="26" spans="1:17" ht="12.75">
      <c r="A26">
        <v>21</v>
      </c>
      <c r="B26" s="174" t="s">
        <v>74</v>
      </c>
      <c r="C26" t="s">
        <v>320</v>
      </c>
      <c r="D26">
        <v>39</v>
      </c>
      <c r="E26">
        <v>44</v>
      </c>
      <c r="F26" s="1" t="s">
        <v>43</v>
      </c>
      <c r="G26">
        <v>39</v>
      </c>
      <c r="H26">
        <v>30</v>
      </c>
      <c r="I26" s="1" t="s">
        <v>44</v>
      </c>
      <c r="J26">
        <v>1157</v>
      </c>
      <c r="K26">
        <v>-18</v>
      </c>
      <c r="L26">
        <v>36</v>
      </c>
      <c r="M26">
        <v>17.4</v>
      </c>
      <c r="N26">
        <v>22</v>
      </c>
      <c r="P26" s="1">
        <v>29</v>
      </c>
      <c r="Q26">
        <v>10.75</v>
      </c>
    </row>
    <row r="27" spans="1:17" ht="12.75">
      <c r="A27">
        <v>22</v>
      </c>
      <c r="B27" s="174" t="s">
        <v>75</v>
      </c>
      <c r="C27" t="s">
        <v>320</v>
      </c>
      <c r="D27">
        <v>39</v>
      </c>
      <c r="E27">
        <v>55</v>
      </c>
      <c r="F27" s="1" t="s">
        <v>43</v>
      </c>
      <c r="G27">
        <v>41</v>
      </c>
      <c r="H27">
        <v>16</v>
      </c>
      <c r="I27" s="1" t="s">
        <v>44</v>
      </c>
      <c r="J27">
        <v>1893</v>
      </c>
      <c r="K27">
        <v>-21</v>
      </c>
      <c r="L27">
        <v>30</v>
      </c>
      <c r="M27">
        <v>14.7</v>
      </c>
      <c r="N27">
        <v>23</v>
      </c>
      <c r="P27" s="1">
        <v>55</v>
      </c>
      <c r="Q27">
        <v>14.75</v>
      </c>
    </row>
    <row r="28" spans="1:17" ht="12.75">
      <c r="A28">
        <v>23</v>
      </c>
      <c r="B28" s="174" t="s">
        <v>76</v>
      </c>
      <c r="C28" t="s">
        <v>320</v>
      </c>
      <c r="D28">
        <v>39</v>
      </c>
      <c r="E28">
        <v>46</v>
      </c>
      <c r="F28" s="1" t="s">
        <v>43</v>
      </c>
      <c r="G28">
        <v>30</v>
      </c>
      <c r="H28">
        <v>31</v>
      </c>
      <c r="I28" s="1" t="s">
        <v>44</v>
      </c>
      <c r="J28">
        <v>790</v>
      </c>
      <c r="K28">
        <v>-12</v>
      </c>
      <c r="L28">
        <v>34</v>
      </c>
      <c r="M28">
        <v>15.9</v>
      </c>
      <c r="N28">
        <v>25</v>
      </c>
      <c r="O28" s="1" t="s">
        <v>321</v>
      </c>
      <c r="P28" s="1">
        <v>48</v>
      </c>
      <c r="Q28">
        <v>16.25</v>
      </c>
    </row>
    <row r="29" spans="1:17" ht="12.75">
      <c r="A29">
        <v>24</v>
      </c>
      <c r="B29" s="174" t="s">
        <v>78</v>
      </c>
      <c r="C29" t="s">
        <v>320</v>
      </c>
      <c r="D29">
        <v>37</v>
      </c>
      <c r="E29">
        <v>5</v>
      </c>
      <c r="F29" s="1" t="s">
        <v>43</v>
      </c>
      <c r="G29">
        <v>37</v>
      </c>
      <c r="H29">
        <v>22</v>
      </c>
      <c r="I29" s="1" t="s">
        <v>44</v>
      </c>
      <c r="J29">
        <v>849</v>
      </c>
      <c r="K29">
        <v>-9</v>
      </c>
      <c r="L29">
        <v>39</v>
      </c>
      <c r="M29">
        <v>13.5</v>
      </c>
      <c r="N29">
        <v>23</v>
      </c>
      <c r="P29" s="1">
        <v>25.5</v>
      </c>
      <c r="Q29">
        <v>11.1</v>
      </c>
    </row>
    <row r="30" spans="1:17" ht="12.75">
      <c r="A30">
        <v>25</v>
      </c>
      <c r="B30" s="174" t="s">
        <v>77</v>
      </c>
      <c r="C30" t="s">
        <v>320</v>
      </c>
      <c r="D30">
        <v>40</v>
      </c>
      <c r="E30">
        <v>55</v>
      </c>
      <c r="F30" s="1" t="s">
        <v>43</v>
      </c>
      <c r="G30">
        <v>38</v>
      </c>
      <c r="H30">
        <v>24</v>
      </c>
      <c r="I30" s="1" t="s">
        <v>44</v>
      </c>
      <c r="J30">
        <v>40</v>
      </c>
      <c r="K30">
        <v>-3</v>
      </c>
      <c r="L30">
        <v>29</v>
      </c>
      <c r="M30">
        <v>6.3</v>
      </c>
      <c r="N30">
        <v>21</v>
      </c>
      <c r="P30" s="1">
        <v>49</v>
      </c>
      <c r="Q30">
        <v>12.25</v>
      </c>
    </row>
    <row r="31" spans="1:17" ht="12.75">
      <c r="A31">
        <v>26</v>
      </c>
      <c r="B31" s="174" t="s">
        <v>79</v>
      </c>
      <c r="C31" t="s">
        <v>320</v>
      </c>
      <c r="D31">
        <v>39</v>
      </c>
      <c r="E31">
        <v>56</v>
      </c>
      <c r="F31" s="1" t="s">
        <v>43</v>
      </c>
      <c r="G31">
        <v>44</v>
      </c>
      <c r="H31">
        <v>2</v>
      </c>
      <c r="I31" s="1" t="s">
        <v>44</v>
      </c>
      <c r="J31">
        <v>855</v>
      </c>
      <c r="K31">
        <v>18</v>
      </c>
      <c r="L31">
        <v>36</v>
      </c>
      <c r="M31">
        <v>16.7</v>
      </c>
      <c r="N31">
        <v>29</v>
      </c>
      <c r="P31" s="1">
        <v>60</v>
      </c>
      <c r="Q31">
        <v>22.25</v>
      </c>
    </row>
    <row r="32" spans="1:17" ht="12.75">
      <c r="A32">
        <v>27</v>
      </c>
      <c r="B32" s="174" t="s">
        <v>80</v>
      </c>
      <c r="C32" t="s">
        <v>320</v>
      </c>
      <c r="D32">
        <v>39</v>
      </c>
      <c r="E32">
        <v>45</v>
      </c>
      <c r="F32" s="1" t="s">
        <v>43</v>
      </c>
      <c r="G32">
        <v>30</v>
      </c>
      <c r="H32">
        <v>33</v>
      </c>
      <c r="I32" s="1" t="s">
        <v>44</v>
      </c>
      <c r="J32">
        <v>1050</v>
      </c>
      <c r="K32">
        <v>-9</v>
      </c>
      <c r="L32">
        <v>34</v>
      </c>
      <c r="M32">
        <v>15.5</v>
      </c>
      <c r="N32">
        <v>24</v>
      </c>
      <c r="P32" s="1">
        <v>44</v>
      </c>
      <c r="Q32">
        <v>14.75</v>
      </c>
    </row>
    <row r="33" spans="1:17" ht="12.75">
      <c r="A33">
        <v>28</v>
      </c>
      <c r="B33" s="174" t="s">
        <v>81</v>
      </c>
      <c r="C33" t="s">
        <v>320</v>
      </c>
      <c r="D33">
        <v>36</v>
      </c>
      <c r="E33">
        <v>37</v>
      </c>
      <c r="F33" s="1" t="s">
        <v>43</v>
      </c>
      <c r="G33">
        <v>36</v>
      </c>
      <c r="H33">
        <v>7</v>
      </c>
      <c r="I33" s="1" t="s">
        <v>44</v>
      </c>
      <c r="J33">
        <v>3</v>
      </c>
      <c r="K33">
        <v>3</v>
      </c>
      <c r="L33">
        <v>37</v>
      </c>
      <c r="M33">
        <v>8.3</v>
      </c>
      <c r="N33">
        <v>24</v>
      </c>
      <c r="P33" s="1">
        <v>35</v>
      </c>
      <c r="Q33">
        <v>13.5</v>
      </c>
    </row>
    <row r="34" spans="1:17" ht="12.75">
      <c r="A34">
        <v>29</v>
      </c>
      <c r="B34" s="174" t="s">
        <v>82</v>
      </c>
      <c r="C34" t="s">
        <v>320</v>
      </c>
      <c r="D34">
        <v>40</v>
      </c>
      <c r="E34">
        <v>58</v>
      </c>
      <c r="F34" s="1" t="s">
        <v>43</v>
      </c>
      <c r="G34">
        <v>29</v>
      </c>
      <c r="H34">
        <v>5</v>
      </c>
      <c r="I34" s="1" t="s">
        <v>44</v>
      </c>
      <c r="J34">
        <v>40</v>
      </c>
      <c r="K34">
        <v>-3</v>
      </c>
      <c r="L34">
        <v>33</v>
      </c>
      <c r="M34">
        <v>10.5</v>
      </c>
      <c r="N34">
        <v>24</v>
      </c>
      <c r="O34" s="1" t="s">
        <v>321</v>
      </c>
      <c r="P34" s="1">
        <v>30</v>
      </c>
      <c r="Q34">
        <v>15</v>
      </c>
    </row>
    <row r="35" spans="1:17" ht="12.75">
      <c r="A35">
        <v>30</v>
      </c>
      <c r="B35" s="174" t="s">
        <v>83</v>
      </c>
      <c r="C35" t="s">
        <v>320</v>
      </c>
      <c r="D35">
        <v>38</v>
      </c>
      <c r="E35">
        <v>24</v>
      </c>
      <c r="F35" s="1" t="s">
        <v>43</v>
      </c>
      <c r="G35">
        <v>27</v>
      </c>
      <c r="H35">
        <v>10</v>
      </c>
      <c r="I35" s="1" t="s">
        <v>44</v>
      </c>
      <c r="J35">
        <v>3</v>
      </c>
      <c r="K35">
        <v>0</v>
      </c>
      <c r="L35">
        <v>37</v>
      </c>
      <c r="M35">
        <v>12.8</v>
      </c>
      <c r="N35">
        <v>22</v>
      </c>
      <c r="O35" s="1" t="s">
        <v>321</v>
      </c>
      <c r="P35" s="1">
        <v>26</v>
      </c>
      <c r="Q35">
        <v>10.25</v>
      </c>
    </row>
    <row r="36" spans="1:17" ht="12.75">
      <c r="A36">
        <v>31</v>
      </c>
      <c r="B36" s="174" t="s">
        <v>84</v>
      </c>
      <c r="C36" t="s">
        <v>320</v>
      </c>
      <c r="D36">
        <v>40</v>
      </c>
      <c r="E36">
        <v>36</v>
      </c>
      <c r="F36" s="1" t="s">
        <v>43</v>
      </c>
      <c r="G36">
        <v>43</v>
      </c>
      <c r="H36">
        <v>5</v>
      </c>
      <c r="I36" s="1" t="s">
        <v>44</v>
      </c>
      <c r="J36">
        <v>1750</v>
      </c>
      <c r="K36">
        <v>-27</v>
      </c>
      <c r="L36">
        <v>30</v>
      </c>
      <c r="M36">
        <v>16.6</v>
      </c>
      <c r="N36">
        <v>22</v>
      </c>
      <c r="P36" s="1">
        <v>50</v>
      </c>
      <c r="Q36">
        <v>13.5</v>
      </c>
    </row>
    <row r="37" spans="1:17" ht="12.75">
      <c r="A37">
        <v>32</v>
      </c>
      <c r="B37" s="174" t="s">
        <v>85</v>
      </c>
      <c r="C37" t="s">
        <v>320</v>
      </c>
      <c r="D37">
        <v>41</v>
      </c>
      <c r="E37">
        <v>22</v>
      </c>
      <c r="F37" s="1" t="s">
        <v>43</v>
      </c>
      <c r="G37">
        <v>33</v>
      </c>
      <c r="H37">
        <v>46</v>
      </c>
      <c r="I37" s="1" t="s">
        <v>44</v>
      </c>
      <c r="J37">
        <v>800</v>
      </c>
      <c r="K37">
        <v>-12</v>
      </c>
      <c r="L37">
        <v>34</v>
      </c>
      <c r="M37">
        <v>16.2</v>
      </c>
      <c r="N37">
        <v>21</v>
      </c>
      <c r="P37" s="1">
        <v>31</v>
      </c>
      <c r="Q37">
        <v>10.25</v>
      </c>
    </row>
    <row r="38" spans="1:17" ht="12.75">
      <c r="A38">
        <v>33</v>
      </c>
      <c r="B38" s="174" t="s">
        <v>86</v>
      </c>
      <c r="C38" t="s">
        <v>320</v>
      </c>
      <c r="D38">
        <v>38</v>
      </c>
      <c r="E38">
        <v>43</v>
      </c>
      <c r="F38" s="1" t="s">
        <v>43</v>
      </c>
      <c r="G38">
        <v>35</v>
      </c>
      <c r="H38">
        <v>29</v>
      </c>
      <c r="I38" s="1" t="s">
        <v>44</v>
      </c>
      <c r="J38">
        <v>1058</v>
      </c>
      <c r="K38">
        <v>-15</v>
      </c>
      <c r="L38">
        <v>36</v>
      </c>
      <c r="M38">
        <v>20.1</v>
      </c>
      <c r="N38">
        <v>25</v>
      </c>
      <c r="P38" s="1">
        <v>41</v>
      </c>
      <c r="Q38">
        <v>15.5</v>
      </c>
    </row>
    <row r="39" spans="1:17" ht="12.75">
      <c r="A39">
        <v>34</v>
      </c>
      <c r="B39" s="174" t="s">
        <v>87</v>
      </c>
      <c r="C39" t="s">
        <v>320</v>
      </c>
      <c r="D39">
        <v>39</v>
      </c>
      <c r="E39">
        <v>8</v>
      </c>
      <c r="F39" s="1" t="s">
        <v>43</v>
      </c>
      <c r="G39">
        <v>34</v>
      </c>
      <c r="H39">
        <v>10</v>
      </c>
      <c r="I39" s="1" t="s">
        <v>44</v>
      </c>
      <c r="J39">
        <v>980</v>
      </c>
      <c r="K39">
        <v>-12</v>
      </c>
      <c r="L39">
        <v>35</v>
      </c>
      <c r="M39">
        <v>0</v>
      </c>
      <c r="N39">
        <v>21</v>
      </c>
      <c r="P39" s="1">
        <v>28.5</v>
      </c>
      <c r="Q39">
        <v>10</v>
      </c>
    </row>
    <row r="40" spans="1:17" ht="12.75">
      <c r="A40">
        <v>35</v>
      </c>
      <c r="B40" s="174" t="s">
        <v>88</v>
      </c>
      <c r="C40" t="s">
        <v>320</v>
      </c>
      <c r="D40">
        <v>40</v>
      </c>
      <c r="E40">
        <v>46</v>
      </c>
      <c r="F40" s="1" t="s">
        <v>43</v>
      </c>
      <c r="G40">
        <v>29</v>
      </c>
      <c r="H40">
        <v>54</v>
      </c>
      <c r="I40" s="1" t="s">
        <v>44</v>
      </c>
      <c r="J40">
        <v>77</v>
      </c>
      <c r="K40">
        <v>-3</v>
      </c>
      <c r="L40">
        <v>36</v>
      </c>
      <c r="M40">
        <v>10.8</v>
      </c>
      <c r="N40">
        <v>21</v>
      </c>
      <c r="O40" s="1" t="s">
        <v>321</v>
      </c>
      <c r="P40" s="1">
        <v>25</v>
      </c>
      <c r="Q40">
        <v>9.5</v>
      </c>
    </row>
    <row r="41" spans="1:17" ht="12.75">
      <c r="A41">
        <v>36</v>
      </c>
      <c r="B41" s="174" t="s">
        <v>89</v>
      </c>
      <c r="C41" t="s">
        <v>320</v>
      </c>
      <c r="D41">
        <v>37</v>
      </c>
      <c r="E41">
        <v>52</v>
      </c>
      <c r="F41" s="1" t="s">
        <v>43</v>
      </c>
      <c r="G41">
        <v>32</v>
      </c>
      <c r="H41">
        <v>30</v>
      </c>
      <c r="I41" s="1" t="s">
        <v>44</v>
      </c>
      <c r="J41">
        <v>1024</v>
      </c>
      <c r="K41">
        <v>-12</v>
      </c>
      <c r="L41">
        <v>34</v>
      </c>
      <c r="M41">
        <v>15.4</v>
      </c>
      <c r="N41">
        <v>21</v>
      </c>
      <c r="P41" s="1">
        <v>31</v>
      </c>
      <c r="Q41">
        <v>10.25</v>
      </c>
    </row>
    <row r="42" spans="1:17" ht="12.75">
      <c r="A42">
        <v>37</v>
      </c>
      <c r="B42" s="174" t="s">
        <v>90</v>
      </c>
      <c r="C42" t="s">
        <v>320</v>
      </c>
      <c r="D42">
        <v>39</v>
      </c>
      <c r="E42">
        <v>24</v>
      </c>
      <c r="F42" s="1" t="s">
        <v>43</v>
      </c>
      <c r="G42">
        <v>29</v>
      </c>
      <c r="H42">
        <v>58</v>
      </c>
      <c r="I42" s="1" t="s">
        <v>44</v>
      </c>
      <c r="J42">
        <v>935</v>
      </c>
      <c r="K42">
        <v>-12</v>
      </c>
      <c r="L42">
        <v>33</v>
      </c>
      <c r="M42">
        <v>16</v>
      </c>
      <c r="N42">
        <v>25</v>
      </c>
      <c r="P42" s="1">
        <v>52</v>
      </c>
      <c r="Q42">
        <v>16.75</v>
      </c>
    </row>
    <row r="43" spans="1:17" ht="12.75">
      <c r="A43">
        <v>38</v>
      </c>
      <c r="B43" s="174" t="s">
        <v>91</v>
      </c>
      <c r="C43" t="s">
        <v>320</v>
      </c>
      <c r="D43">
        <v>38</v>
      </c>
      <c r="E43">
        <v>21</v>
      </c>
      <c r="F43" s="1" t="s">
        <v>43</v>
      </c>
      <c r="G43">
        <v>38</v>
      </c>
      <c r="H43">
        <v>18</v>
      </c>
      <c r="I43" s="1" t="s">
        <v>44</v>
      </c>
      <c r="J43">
        <v>915</v>
      </c>
      <c r="K43">
        <v>-12</v>
      </c>
      <c r="L43">
        <v>38</v>
      </c>
      <c r="M43">
        <v>14.4</v>
      </c>
      <c r="N43">
        <v>23</v>
      </c>
      <c r="P43" s="1">
        <v>28</v>
      </c>
      <c r="Q43">
        <v>11.5</v>
      </c>
    </row>
    <row r="44" spans="1:17" ht="12.75">
      <c r="A44">
        <v>39</v>
      </c>
      <c r="B44" s="174" t="s">
        <v>92</v>
      </c>
      <c r="C44" t="s">
        <v>320</v>
      </c>
      <c r="D44">
        <v>38</v>
      </c>
      <c r="E44">
        <v>42</v>
      </c>
      <c r="F44" s="1" t="s">
        <v>43</v>
      </c>
      <c r="G44">
        <v>27</v>
      </c>
      <c r="H44">
        <v>26</v>
      </c>
      <c r="I44" s="1" t="s">
        <v>44</v>
      </c>
      <c r="J44">
        <v>42</v>
      </c>
      <c r="K44">
        <v>-3</v>
      </c>
      <c r="L44">
        <v>40</v>
      </c>
      <c r="M44">
        <v>16</v>
      </c>
      <c r="N44">
        <v>29</v>
      </c>
      <c r="O44" s="1" t="s">
        <v>321</v>
      </c>
      <c r="P44" s="1">
        <v>45</v>
      </c>
      <c r="Q44">
        <v>21</v>
      </c>
    </row>
    <row r="45" spans="1:17" ht="12.75">
      <c r="A45">
        <v>40</v>
      </c>
      <c r="B45" s="174" t="s">
        <v>93</v>
      </c>
      <c r="C45" t="s">
        <v>320</v>
      </c>
      <c r="D45">
        <v>37</v>
      </c>
      <c r="E45">
        <v>18</v>
      </c>
      <c r="F45" s="1" t="s">
        <v>43</v>
      </c>
      <c r="G45">
        <v>40</v>
      </c>
      <c r="H45">
        <v>44</v>
      </c>
      <c r="I45" s="1" t="s">
        <v>44</v>
      </c>
      <c r="J45">
        <v>1150</v>
      </c>
      <c r="K45">
        <v>-6</v>
      </c>
      <c r="L45">
        <v>38</v>
      </c>
      <c r="M45">
        <v>10.4</v>
      </c>
      <c r="N45">
        <v>22</v>
      </c>
      <c r="P45" s="1">
        <v>24</v>
      </c>
      <c r="Q45">
        <v>10</v>
      </c>
    </row>
    <row r="46" spans="1:17" ht="12.75">
      <c r="A46">
        <v>41</v>
      </c>
      <c r="B46" s="174" t="s">
        <v>94</v>
      </c>
      <c r="C46" t="s">
        <v>320</v>
      </c>
      <c r="D46">
        <v>36</v>
      </c>
      <c r="E46">
        <v>49</v>
      </c>
      <c r="F46" s="1" t="s">
        <v>43</v>
      </c>
      <c r="G46">
        <v>34</v>
      </c>
      <c r="H46">
        <v>36</v>
      </c>
      <c r="I46" s="1" t="s">
        <v>44</v>
      </c>
      <c r="J46">
        <v>6</v>
      </c>
      <c r="K46">
        <v>3</v>
      </c>
      <c r="L46">
        <v>35</v>
      </c>
      <c r="M46">
        <v>7.4</v>
      </c>
      <c r="N46">
        <v>20</v>
      </c>
      <c r="P46" s="1">
        <v>24</v>
      </c>
      <c r="Q46">
        <v>8.5</v>
      </c>
    </row>
    <row r="47" spans="1:17" ht="12.75">
      <c r="A47">
        <v>42</v>
      </c>
      <c r="B47" s="174" t="s">
        <v>95</v>
      </c>
      <c r="C47" t="s">
        <v>320</v>
      </c>
      <c r="D47">
        <v>37</v>
      </c>
      <c r="E47">
        <v>12</v>
      </c>
      <c r="F47" s="1" t="s">
        <v>43</v>
      </c>
      <c r="G47">
        <v>28</v>
      </c>
      <c r="H47">
        <v>21</v>
      </c>
      <c r="I47" s="1" t="s">
        <v>44</v>
      </c>
      <c r="J47">
        <v>648</v>
      </c>
      <c r="K47">
        <v>-3</v>
      </c>
      <c r="L47">
        <v>37</v>
      </c>
      <c r="M47">
        <v>13.2</v>
      </c>
      <c r="N47">
        <v>26</v>
      </c>
      <c r="O47" s="1" t="s">
        <v>321</v>
      </c>
      <c r="P47" s="1">
        <v>42</v>
      </c>
      <c r="Q47">
        <v>16.75</v>
      </c>
    </row>
    <row r="48" spans="1:17" ht="12.75">
      <c r="A48">
        <v>43</v>
      </c>
      <c r="B48" s="174" t="s">
        <v>96</v>
      </c>
      <c r="C48" t="s">
        <v>320</v>
      </c>
      <c r="D48">
        <v>37</v>
      </c>
      <c r="E48">
        <v>59</v>
      </c>
      <c r="F48" s="1" t="s">
        <v>43</v>
      </c>
      <c r="G48">
        <v>34</v>
      </c>
      <c r="H48">
        <v>40</v>
      </c>
      <c r="I48" s="1" t="s">
        <v>44</v>
      </c>
      <c r="J48">
        <v>1239</v>
      </c>
      <c r="K48">
        <v>-15</v>
      </c>
      <c r="L48">
        <v>34</v>
      </c>
      <c r="M48">
        <v>15.5</v>
      </c>
      <c r="N48">
        <v>25</v>
      </c>
      <c r="O48" s="1" t="s">
        <v>321</v>
      </c>
      <c r="P48" s="1">
        <v>49</v>
      </c>
      <c r="Q48">
        <v>16.5</v>
      </c>
    </row>
    <row r="49" spans="1:17" ht="12.75">
      <c r="A49">
        <v>44</v>
      </c>
      <c r="B49" s="174" t="s">
        <v>97</v>
      </c>
      <c r="C49" t="s">
        <v>320</v>
      </c>
      <c r="D49">
        <v>41</v>
      </c>
      <c r="E49">
        <v>2</v>
      </c>
      <c r="F49" s="1" t="s">
        <v>43</v>
      </c>
      <c r="G49">
        <v>40</v>
      </c>
      <c r="H49">
        <v>30</v>
      </c>
      <c r="I49" s="1" t="s">
        <v>44</v>
      </c>
      <c r="J49">
        <v>60</v>
      </c>
      <c r="K49">
        <v>-3</v>
      </c>
      <c r="L49">
        <v>30</v>
      </c>
      <c r="M49">
        <v>6.1</v>
      </c>
      <c r="N49">
        <v>23</v>
      </c>
      <c r="P49" s="1">
        <v>55</v>
      </c>
      <c r="Q49">
        <v>14.75</v>
      </c>
    </row>
    <row r="50" spans="1:17" ht="12.75">
      <c r="A50">
        <v>45</v>
      </c>
      <c r="B50" s="174" t="s">
        <v>98</v>
      </c>
      <c r="C50" t="s">
        <v>320</v>
      </c>
      <c r="D50">
        <v>41</v>
      </c>
      <c r="E50">
        <v>17</v>
      </c>
      <c r="F50" s="1" t="s">
        <v>43</v>
      </c>
      <c r="G50">
        <v>36</v>
      </c>
      <c r="H50">
        <v>20</v>
      </c>
      <c r="I50" s="1" t="s">
        <v>44</v>
      </c>
      <c r="J50">
        <v>40</v>
      </c>
      <c r="K50">
        <v>-3</v>
      </c>
      <c r="L50">
        <v>32</v>
      </c>
      <c r="M50">
        <v>7.8</v>
      </c>
      <c r="N50">
        <v>25</v>
      </c>
      <c r="O50" s="1" t="s">
        <v>321</v>
      </c>
      <c r="P50" s="1">
        <v>58</v>
      </c>
      <c r="Q50">
        <v>15.25</v>
      </c>
    </row>
    <row r="51" spans="1:17" ht="12.75">
      <c r="A51">
        <v>46</v>
      </c>
      <c r="B51" s="174" t="s">
        <v>99</v>
      </c>
      <c r="C51" t="s">
        <v>320</v>
      </c>
      <c r="D51">
        <v>37</v>
      </c>
      <c r="E51">
        <v>56</v>
      </c>
      <c r="F51" s="1" t="s">
        <v>43</v>
      </c>
      <c r="G51">
        <v>41</v>
      </c>
      <c r="H51">
        <v>56</v>
      </c>
      <c r="I51" s="1" t="s">
        <v>44</v>
      </c>
      <c r="J51">
        <v>875</v>
      </c>
      <c r="K51">
        <v>-9</v>
      </c>
      <c r="L51">
        <v>40</v>
      </c>
      <c r="M51">
        <v>13</v>
      </c>
      <c r="N51">
        <v>23</v>
      </c>
      <c r="P51" s="1">
        <v>23</v>
      </c>
      <c r="Q51">
        <v>10.75</v>
      </c>
    </row>
    <row r="52" spans="1:17" ht="12.75">
      <c r="A52">
        <v>47</v>
      </c>
      <c r="B52" s="174" t="s">
        <v>100</v>
      </c>
      <c r="C52" t="s">
        <v>320</v>
      </c>
      <c r="D52">
        <v>42</v>
      </c>
      <c r="E52">
        <v>2</v>
      </c>
      <c r="F52" s="1" t="s">
        <v>43</v>
      </c>
      <c r="G52">
        <v>35</v>
      </c>
      <c r="H52">
        <v>10</v>
      </c>
      <c r="I52" s="1" t="s">
        <v>44</v>
      </c>
      <c r="J52">
        <v>25</v>
      </c>
      <c r="K52">
        <v>-3</v>
      </c>
      <c r="L52">
        <v>30</v>
      </c>
      <c r="M52">
        <v>6.5</v>
      </c>
      <c r="N52">
        <v>25</v>
      </c>
      <c r="O52" s="1" t="s">
        <v>321</v>
      </c>
      <c r="P52" s="1">
        <v>68</v>
      </c>
      <c r="Q52">
        <v>18</v>
      </c>
    </row>
    <row r="53" spans="1:17" ht="12.75">
      <c r="A53">
        <v>48</v>
      </c>
      <c r="B53" s="174" t="s">
        <v>101</v>
      </c>
      <c r="C53" t="s">
        <v>320</v>
      </c>
      <c r="D53">
        <v>39</v>
      </c>
      <c r="E53">
        <v>45</v>
      </c>
      <c r="F53" s="1" t="s">
        <v>43</v>
      </c>
      <c r="G53">
        <v>37</v>
      </c>
      <c r="H53">
        <v>1</v>
      </c>
      <c r="I53" s="1" t="s">
        <v>44</v>
      </c>
      <c r="J53">
        <v>1285</v>
      </c>
      <c r="K53">
        <v>-18</v>
      </c>
      <c r="L53">
        <v>33</v>
      </c>
      <c r="M53">
        <v>17.8</v>
      </c>
      <c r="N53">
        <v>20</v>
      </c>
      <c r="P53" s="1">
        <v>30</v>
      </c>
      <c r="Q53">
        <v>9.5</v>
      </c>
    </row>
    <row r="54" spans="1:17" ht="12.75">
      <c r="A54">
        <v>49</v>
      </c>
      <c r="B54" s="174" t="s">
        <v>102</v>
      </c>
      <c r="C54" t="s">
        <v>320</v>
      </c>
      <c r="D54">
        <v>40</v>
      </c>
      <c r="E54">
        <v>59</v>
      </c>
      <c r="F54" s="1" t="s">
        <v>43</v>
      </c>
      <c r="G54">
        <v>27</v>
      </c>
      <c r="H54">
        <v>29</v>
      </c>
      <c r="I54" s="1" t="s">
        <v>44</v>
      </c>
      <c r="J54">
        <v>55</v>
      </c>
      <c r="K54">
        <v>-6</v>
      </c>
      <c r="L54">
        <v>33</v>
      </c>
      <c r="M54">
        <v>9</v>
      </c>
      <c r="N54">
        <v>25</v>
      </c>
      <c r="O54" s="1" t="s">
        <v>321</v>
      </c>
      <c r="P54" s="1">
        <v>52</v>
      </c>
      <c r="Q54">
        <v>16.75</v>
      </c>
    </row>
    <row r="55" spans="1:17" ht="12.75">
      <c r="A55">
        <v>50</v>
      </c>
      <c r="B55" s="174" t="s">
        <v>103</v>
      </c>
      <c r="C55" t="s">
        <v>320</v>
      </c>
      <c r="D55">
        <v>41</v>
      </c>
      <c r="E55">
        <v>0</v>
      </c>
      <c r="F55" s="1" t="s">
        <v>43</v>
      </c>
      <c r="G55">
        <v>39</v>
      </c>
      <c r="H55">
        <v>43</v>
      </c>
      <c r="I55" s="1" t="s">
        <v>44</v>
      </c>
      <c r="J55">
        <v>109</v>
      </c>
      <c r="K55">
        <v>-3</v>
      </c>
      <c r="L55">
        <v>31</v>
      </c>
      <c r="M55">
        <v>5.8</v>
      </c>
      <c r="N55">
        <v>25</v>
      </c>
      <c r="P55" s="1">
        <v>62</v>
      </c>
      <c r="Q55">
        <v>17.75</v>
      </c>
    </row>
    <row r="56" spans="1:17" ht="12.75">
      <c r="A56">
        <v>51</v>
      </c>
      <c r="B56" s="174" t="s">
        <v>322</v>
      </c>
      <c r="C56" t="s">
        <v>320</v>
      </c>
      <c r="D56">
        <v>37</v>
      </c>
      <c r="E56">
        <v>8</v>
      </c>
      <c r="F56" s="1" t="s">
        <v>43</v>
      </c>
      <c r="G56">
        <v>38</v>
      </c>
      <c r="H56">
        <v>46</v>
      </c>
      <c r="I56" s="1" t="s">
        <v>44</v>
      </c>
      <c r="J56">
        <v>515</v>
      </c>
      <c r="K56">
        <v>-6</v>
      </c>
      <c r="L56">
        <v>43</v>
      </c>
      <c r="M56">
        <v>15.2</v>
      </c>
      <c r="N56">
        <v>24</v>
      </c>
      <c r="O56" s="1" t="s">
        <v>321</v>
      </c>
      <c r="P56" s="1">
        <v>20</v>
      </c>
      <c r="Q56">
        <v>11</v>
      </c>
    </row>
    <row r="57" spans="1:17" ht="12.75">
      <c r="A57">
        <v>52</v>
      </c>
      <c r="B57" s="174" t="s">
        <v>104</v>
      </c>
      <c r="C57" t="s">
        <v>320</v>
      </c>
      <c r="D57">
        <v>38</v>
      </c>
      <c r="E57">
        <v>40</v>
      </c>
      <c r="F57" s="1" t="s">
        <v>43</v>
      </c>
      <c r="G57">
        <v>29</v>
      </c>
      <c r="H57">
        <v>25</v>
      </c>
      <c r="I57" s="1" t="s">
        <v>44</v>
      </c>
      <c r="J57">
        <v>911</v>
      </c>
      <c r="K57">
        <v>-9</v>
      </c>
      <c r="L57">
        <v>35</v>
      </c>
      <c r="M57">
        <v>16.6</v>
      </c>
      <c r="N57">
        <v>22</v>
      </c>
      <c r="O57" s="1" t="s">
        <v>321</v>
      </c>
      <c r="P57" s="1">
        <v>32</v>
      </c>
      <c r="Q57">
        <v>11.25</v>
      </c>
    </row>
    <row r="58" spans="1:17" ht="12.75">
      <c r="A58">
        <v>53</v>
      </c>
      <c r="B58" s="174" t="s">
        <v>105</v>
      </c>
      <c r="C58" t="s">
        <v>320</v>
      </c>
      <c r="D58">
        <v>38</v>
      </c>
      <c r="E58">
        <v>28</v>
      </c>
      <c r="F58" s="1" t="s">
        <v>43</v>
      </c>
      <c r="G58">
        <v>43</v>
      </c>
      <c r="H58">
        <v>21</v>
      </c>
      <c r="I58" s="1" t="s">
        <v>44</v>
      </c>
      <c r="J58">
        <v>1732</v>
      </c>
      <c r="K58">
        <v>-15</v>
      </c>
      <c r="L58">
        <v>33</v>
      </c>
      <c r="M58">
        <v>15.5</v>
      </c>
      <c r="N58">
        <v>20</v>
      </c>
      <c r="P58" s="1">
        <v>30</v>
      </c>
      <c r="Q58">
        <v>9.5</v>
      </c>
    </row>
    <row r="59" spans="1:17" ht="12.75">
      <c r="A59">
        <v>54</v>
      </c>
      <c r="B59" s="174" t="s">
        <v>106</v>
      </c>
      <c r="C59" t="s">
        <v>320</v>
      </c>
      <c r="D59">
        <v>39</v>
      </c>
      <c r="E59">
        <v>50</v>
      </c>
      <c r="F59" s="1" t="s">
        <v>43</v>
      </c>
      <c r="G59">
        <v>34</v>
      </c>
      <c r="H59">
        <v>20</v>
      </c>
      <c r="I59" s="1" t="s">
        <v>44</v>
      </c>
      <c r="J59">
        <v>1320</v>
      </c>
      <c r="K59">
        <v>-15</v>
      </c>
      <c r="L59">
        <v>32</v>
      </c>
      <c r="M59">
        <v>0</v>
      </c>
      <c r="N59">
        <v>20</v>
      </c>
      <c r="P59" s="1">
        <v>32</v>
      </c>
      <c r="Q59">
        <v>9.75</v>
      </c>
    </row>
    <row r="60" spans="1:17" ht="12.75">
      <c r="A60">
        <v>55</v>
      </c>
      <c r="B60" s="174" t="s">
        <v>107</v>
      </c>
      <c r="C60" t="s">
        <v>320</v>
      </c>
      <c r="D60">
        <v>41</v>
      </c>
      <c r="E60">
        <v>27</v>
      </c>
      <c r="F60" s="1" t="s">
        <v>43</v>
      </c>
      <c r="G60">
        <v>31</v>
      </c>
      <c r="H60">
        <v>48</v>
      </c>
      <c r="I60" s="1" t="s">
        <v>44</v>
      </c>
      <c r="J60">
        <v>42</v>
      </c>
      <c r="K60">
        <v>-3</v>
      </c>
      <c r="L60">
        <v>32</v>
      </c>
      <c r="M60">
        <v>8.1</v>
      </c>
      <c r="N60">
        <v>25</v>
      </c>
      <c r="O60" s="1" t="s">
        <v>321</v>
      </c>
      <c r="P60" s="1">
        <v>58</v>
      </c>
      <c r="Q60">
        <v>17.25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I38"/>
  <sheetViews>
    <sheetView zoomScalePageLayoutView="0" workbookViewId="0" topLeftCell="A10">
      <selection activeCell="C45" sqref="C45"/>
    </sheetView>
  </sheetViews>
  <sheetFormatPr defaultColWidth="9.140625" defaultRowHeight="12.75"/>
  <cols>
    <col min="3" max="3" width="50.421875" style="0" customWidth="1"/>
  </cols>
  <sheetData>
    <row r="2" spans="3:9" ht="33" customHeight="1">
      <c r="C2" s="354" t="s">
        <v>161</v>
      </c>
      <c r="D2" s="355"/>
      <c r="E2" s="355"/>
      <c r="F2" s="355"/>
      <c r="G2" s="355"/>
      <c r="H2" s="355"/>
      <c r="I2" s="355"/>
    </row>
    <row r="4" spans="2:9" ht="12.75">
      <c r="B4" s="357"/>
      <c r="C4" s="353"/>
      <c r="D4" s="352" t="s">
        <v>138</v>
      </c>
      <c r="E4" s="352"/>
      <c r="F4" s="352"/>
      <c r="G4" s="352"/>
      <c r="H4" s="352"/>
      <c r="I4" s="352"/>
    </row>
    <row r="5" spans="2:9" ht="12.75">
      <c r="B5" s="357"/>
      <c r="C5" s="353"/>
      <c r="D5" s="3" t="s">
        <v>139</v>
      </c>
      <c r="E5" s="3" t="s">
        <v>140</v>
      </c>
      <c r="F5" s="3" t="s">
        <v>141</v>
      </c>
      <c r="G5" s="3" t="s">
        <v>142</v>
      </c>
      <c r="H5" s="3" t="s">
        <v>143</v>
      </c>
      <c r="I5" s="3" t="s">
        <v>144</v>
      </c>
    </row>
    <row r="6" spans="2:9" ht="12.75">
      <c r="B6" s="357"/>
      <c r="C6" s="4" t="s">
        <v>145</v>
      </c>
      <c r="D6" s="351">
        <v>21</v>
      </c>
      <c r="E6" s="351">
        <v>23</v>
      </c>
      <c r="F6" s="351">
        <v>26</v>
      </c>
      <c r="G6" s="351">
        <v>28</v>
      </c>
      <c r="H6" s="351">
        <v>28</v>
      </c>
      <c r="I6" s="351">
        <v>31</v>
      </c>
    </row>
    <row r="7" spans="2:9" ht="12.75">
      <c r="B7" s="357"/>
      <c r="C7" s="2" t="s">
        <v>146</v>
      </c>
      <c r="D7" s="351"/>
      <c r="E7" s="351"/>
      <c r="F7" s="351"/>
      <c r="G7" s="351"/>
      <c r="H7" s="351"/>
      <c r="I7" s="351"/>
    </row>
    <row r="8" spans="2:9" ht="12.75">
      <c r="B8" s="357"/>
      <c r="C8" s="4" t="s">
        <v>147</v>
      </c>
      <c r="D8" s="351">
        <v>2</v>
      </c>
      <c r="E8" s="351">
        <v>5</v>
      </c>
      <c r="F8" s="351">
        <v>7</v>
      </c>
      <c r="G8" s="351">
        <v>8</v>
      </c>
      <c r="H8" s="351">
        <v>8</v>
      </c>
      <c r="I8" s="351">
        <v>11</v>
      </c>
    </row>
    <row r="9" spans="2:9" ht="12.75">
      <c r="B9" s="357"/>
      <c r="C9" s="2" t="s">
        <v>148</v>
      </c>
      <c r="D9" s="351"/>
      <c r="E9" s="351"/>
      <c r="F9" s="351"/>
      <c r="G9" s="351"/>
      <c r="H9" s="351"/>
      <c r="I9" s="351"/>
    </row>
    <row r="10" spans="2:9" ht="12.75">
      <c r="B10" s="357"/>
      <c r="C10" s="4" t="s">
        <v>149</v>
      </c>
      <c r="D10" s="351">
        <v>2</v>
      </c>
      <c r="E10" s="351">
        <v>5</v>
      </c>
      <c r="F10" s="351">
        <v>7</v>
      </c>
      <c r="G10" s="351">
        <v>8</v>
      </c>
      <c r="H10" s="351">
        <v>8</v>
      </c>
      <c r="I10" s="351">
        <v>11</v>
      </c>
    </row>
    <row r="11" spans="2:9" ht="12.75">
      <c r="B11" s="357"/>
      <c r="C11" s="2" t="s">
        <v>150</v>
      </c>
      <c r="D11" s="351"/>
      <c r="E11" s="351"/>
      <c r="F11" s="351"/>
      <c r="G11" s="351"/>
      <c r="H11" s="351"/>
      <c r="I11" s="351"/>
    </row>
    <row r="16" spans="3:9" ht="33" customHeight="1">
      <c r="C16" s="354" t="s">
        <v>160</v>
      </c>
      <c r="D16" s="355"/>
      <c r="E16" s="355"/>
      <c r="F16" s="355"/>
      <c r="G16" s="355"/>
      <c r="H16" s="355"/>
      <c r="I16" s="355"/>
    </row>
    <row r="18" spans="2:9" ht="12.75">
      <c r="B18" s="357"/>
      <c r="C18" s="356" t="s">
        <v>151</v>
      </c>
      <c r="D18" s="352" t="s">
        <v>138</v>
      </c>
      <c r="E18" s="352"/>
      <c r="F18" s="352"/>
      <c r="G18" s="352"/>
      <c r="H18" s="352"/>
      <c r="I18" s="352"/>
    </row>
    <row r="19" spans="2:9" ht="25.5" customHeight="1">
      <c r="B19" s="357"/>
      <c r="C19" s="356"/>
      <c r="D19" s="3" t="s">
        <v>139</v>
      </c>
      <c r="E19" s="3" t="s">
        <v>140</v>
      </c>
      <c r="F19" s="3" t="s">
        <v>141</v>
      </c>
      <c r="G19" s="3" t="s">
        <v>142</v>
      </c>
      <c r="H19" s="3" t="s">
        <v>143</v>
      </c>
      <c r="I19" s="3" t="s">
        <v>144</v>
      </c>
    </row>
    <row r="20" spans="2:9" ht="25.5" customHeight="1">
      <c r="B20" s="176" t="s">
        <v>49</v>
      </c>
      <c r="C20" s="176" t="s">
        <v>153</v>
      </c>
      <c r="D20" s="177">
        <v>8</v>
      </c>
      <c r="E20" s="177">
        <v>11</v>
      </c>
      <c r="F20" s="177">
        <v>14</v>
      </c>
      <c r="G20" s="177">
        <v>16</v>
      </c>
      <c r="H20" s="177">
        <v>16</v>
      </c>
      <c r="I20" s="177">
        <v>19</v>
      </c>
    </row>
    <row r="21" spans="2:9" ht="25.5" customHeight="1">
      <c r="B21" s="176" t="s">
        <v>44</v>
      </c>
      <c r="C21" s="176" t="s">
        <v>154</v>
      </c>
      <c r="D21" s="177">
        <v>13</v>
      </c>
      <c r="E21" s="177">
        <v>16</v>
      </c>
      <c r="F21" s="177">
        <v>19</v>
      </c>
      <c r="G21" s="177">
        <v>22</v>
      </c>
      <c r="H21" s="177">
        <v>22</v>
      </c>
      <c r="I21" s="177">
        <v>24</v>
      </c>
    </row>
    <row r="22" spans="2:9" ht="25.5" customHeight="1">
      <c r="B22" s="176" t="s">
        <v>52</v>
      </c>
      <c r="C22" s="176" t="s">
        <v>155</v>
      </c>
      <c r="D22" s="177">
        <v>12</v>
      </c>
      <c r="E22" s="177">
        <v>15</v>
      </c>
      <c r="F22" s="177">
        <v>18</v>
      </c>
      <c r="G22" s="177">
        <v>21</v>
      </c>
      <c r="H22" s="177">
        <v>21</v>
      </c>
      <c r="I22" s="177">
        <v>24</v>
      </c>
    </row>
    <row r="23" spans="2:9" ht="25.5" customHeight="1">
      <c r="B23" s="176" t="s">
        <v>46</v>
      </c>
      <c r="C23" s="176" t="s">
        <v>156</v>
      </c>
      <c r="D23" s="177">
        <v>10</v>
      </c>
      <c r="E23" s="177">
        <v>12</v>
      </c>
      <c r="F23" s="177">
        <v>14</v>
      </c>
      <c r="G23" s="177">
        <v>17</v>
      </c>
      <c r="H23" s="177">
        <v>18</v>
      </c>
      <c r="I23" s="177">
        <v>21</v>
      </c>
    </row>
    <row r="24" spans="2:9" ht="25.5" customHeight="1">
      <c r="B24" s="176" t="s">
        <v>50</v>
      </c>
      <c r="C24" s="176" t="s">
        <v>157</v>
      </c>
      <c r="D24" s="177">
        <v>16</v>
      </c>
      <c r="E24" s="177">
        <v>19</v>
      </c>
      <c r="F24" s="177">
        <v>22</v>
      </c>
      <c r="G24" s="177">
        <v>25</v>
      </c>
      <c r="H24" s="177">
        <v>26</v>
      </c>
      <c r="I24" s="177">
        <v>29</v>
      </c>
    </row>
    <row r="25" spans="2:9" ht="25.5" customHeight="1">
      <c r="B25" s="176" t="s">
        <v>45</v>
      </c>
      <c r="C25" s="176" t="s">
        <v>158</v>
      </c>
      <c r="D25" s="177">
        <v>18</v>
      </c>
      <c r="E25" s="177">
        <v>21</v>
      </c>
      <c r="F25" s="177">
        <v>23</v>
      </c>
      <c r="G25" s="177">
        <v>27</v>
      </c>
      <c r="H25" s="177">
        <v>27</v>
      </c>
      <c r="I25" s="177">
        <v>31</v>
      </c>
    </row>
    <row r="26" spans="2:9" ht="25.5" customHeight="1">
      <c r="B26" s="176" t="s">
        <v>51</v>
      </c>
      <c r="C26" s="176" t="s">
        <v>159</v>
      </c>
      <c r="D26" s="177">
        <v>14</v>
      </c>
      <c r="E26" s="177">
        <v>16</v>
      </c>
      <c r="F26" s="177">
        <v>18</v>
      </c>
      <c r="G26" s="177">
        <v>22</v>
      </c>
      <c r="H26" s="177">
        <v>22</v>
      </c>
      <c r="I26" s="177">
        <v>25</v>
      </c>
    </row>
    <row r="27" spans="2:9" ht="25.5" customHeight="1">
      <c r="B27" s="176" t="s">
        <v>43</v>
      </c>
      <c r="C27" s="176" t="s">
        <v>152</v>
      </c>
      <c r="D27" s="177">
        <v>10</v>
      </c>
      <c r="E27" s="177">
        <v>12</v>
      </c>
      <c r="F27" s="177">
        <v>16</v>
      </c>
      <c r="G27" s="177">
        <v>19</v>
      </c>
      <c r="H27" s="177">
        <v>19</v>
      </c>
      <c r="I27" s="177">
        <v>22</v>
      </c>
    </row>
    <row r="30" spans="4:5" ht="26.25" customHeight="1">
      <c r="D30" t="s">
        <v>398</v>
      </c>
      <c r="E30" s="3" t="s">
        <v>142</v>
      </c>
    </row>
    <row r="31" spans="4:5" ht="25.5" customHeight="1">
      <c r="D31" s="178" t="s">
        <v>49</v>
      </c>
      <c r="E31" s="177">
        <v>16</v>
      </c>
    </row>
    <row r="32" spans="4:5" ht="25.5" customHeight="1">
      <c r="D32" s="178" t="s">
        <v>44</v>
      </c>
      <c r="E32" s="177">
        <v>22</v>
      </c>
    </row>
    <row r="33" spans="4:5" ht="25.5" customHeight="1">
      <c r="D33" s="178" t="s">
        <v>52</v>
      </c>
      <c r="E33" s="177">
        <v>21</v>
      </c>
    </row>
    <row r="34" spans="4:5" ht="25.5" customHeight="1">
      <c r="D34" s="178" t="s">
        <v>46</v>
      </c>
      <c r="E34" s="177">
        <v>17</v>
      </c>
    </row>
    <row r="35" spans="4:5" ht="25.5" customHeight="1">
      <c r="D35" s="178" t="s">
        <v>50</v>
      </c>
      <c r="E35" s="177">
        <v>25</v>
      </c>
    </row>
    <row r="36" spans="4:5" ht="25.5" customHeight="1">
      <c r="D36" s="178" t="s">
        <v>45</v>
      </c>
      <c r="E36" s="177">
        <v>27</v>
      </c>
    </row>
    <row r="37" spans="4:5" ht="25.5" customHeight="1">
      <c r="D37" s="178" t="s">
        <v>51</v>
      </c>
      <c r="E37" s="177">
        <v>22</v>
      </c>
    </row>
    <row r="38" spans="4:5" ht="25.5" customHeight="1">
      <c r="D38" s="178" t="s">
        <v>43</v>
      </c>
      <c r="E38" s="177">
        <v>19</v>
      </c>
    </row>
  </sheetData>
  <sheetProtection/>
  <mergeCells count="29">
    <mergeCell ref="B4:B5"/>
    <mergeCell ref="B18:B19"/>
    <mergeCell ref="B6:B7"/>
    <mergeCell ref="B8:B9"/>
    <mergeCell ref="B10:B11"/>
    <mergeCell ref="C16:I16"/>
    <mergeCell ref="I10:I11"/>
    <mergeCell ref="D8:D9"/>
    <mergeCell ref="E8:E9"/>
    <mergeCell ref="F8:F9"/>
    <mergeCell ref="C2:I2"/>
    <mergeCell ref="C18:C19"/>
    <mergeCell ref="D18:I18"/>
    <mergeCell ref="H8:H9"/>
    <mergeCell ref="I8:I9"/>
    <mergeCell ref="D10:D11"/>
    <mergeCell ref="E10:E11"/>
    <mergeCell ref="F10:F11"/>
    <mergeCell ref="G10:G11"/>
    <mergeCell ref="H10:H11"/>
    <mergeCell ref="G8:G9"/>
    <mergeCell ref="D4:I4"/>
    <mergeCell ref="C4:C5"/>
    <mergeCell ref="D6:D7"/>
    <mergeCell ref="E6:E7"/>
    <mergeCell ref="F6:F7"/>
    <mergeCell ref="G6:G7"/>
    <mergeCell ref="H6:H7"/>
    <mergeCell ref="I6:I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P28"/>
  <sheetViews>
    <sheetView zoomScale="130" zoomScaleNormal="130" zoomScalePageLayoutView="0" workbookViewId="0" topLeftCell="C1">
      <selection activeCell="D21" sqref="D21"/>
    </sheetView>
  </sheetViews>
  <sheetFormatPr defaultColWidth="9.140625" defaultRowHeight="12.75"/>
  <cols>
    <col min="1" max="1" width="1.28515625" style="5" customWidth="1"/>
    <col min="2" max="2" width="28.28125" style="5" bestFit="1" customWidth="1"/>
    <col min="3" max="3" width="9.28125" style="5" bestFit="1" customWidth="1"/>
    <col min="4" max="4" width="64.421875" style="5" customWidth="1"/>
    <col min="5" max="5" width="8.57421875" style="38" bestFit="1" customWidth="1"/>
    <col min="6" max="6" width="10.8515625" style="5" bestFit="1" customWidth="1"/>
    <col min="7" max="7" width="9.7109375" style="5" bestFit="1" customWidth="1"/>
    <col min="8" max="8" width="9.421875" style="38" bestFit="1" customWidth="1"/>
    <col min="9" max="15" width="8.421875" style="38" bestFit="1" customWidth="1"/>
    <col min="16" max="16" width="9.28125" style="5" bestFit="1" customWidth="1"/>
    <col min="17" max="16384" width="9.140625" style="5" customWidth="1"/>
  </cols>
  <sheetData>
    <row r="1" spans="2:16" ht="12.75">
      <c r="B1" s="358" t="s">
        <v>114</v>
      </c>
      <c r="C1" s="358"/>
      <c r="D1" s="358" t="s">
        <v>115</v>
      </c>
      <c r="E1" s="39" t="s">
        <v>43</v>
      </c>
      <c r="F1" s="39" t="s">
        <v>136</v>
      </c>
      <c r="G1" s="39" t="s">
        <v>137</v>
      </c>
      <c r="H1" s="359" t="s">
        <v>169</v>
      </c>
      <c r="I1" s="360"/>
      <c r="J1" s="360"/>
      <c r="K1" s="360"/>
      <c r="L1" s="360"/>
      <c r="M1" s="360"/>
      <c r="N1" s="360"/>
      <c r="O1" s="361"/>
      <c r="P1" s="31"/>
    </row>
    <row r="2" spans="2:16" ht="12.75">
      <c r="B2" s="358"/>
      <c r="C2" s="358"/>
      <c r="D2" s="358"/>
      <c r="E2" s="40" t="s">
        <v>135</v>
      </c>
      <c r="F2" s="41" t="s">
        <v>134</v>
      </c>
      <c r="G2" s="41" t="s">
        <v>134</v>
      </c>
      <c r="H2" s="42" t="s">
        <v>43</v>
      </c>
      <c r="I2" s="42" t="s">
        <v>49</v>
      </c>
      <c r="J2" s="42" t="s">
        <v>44</v>
      </c>
      <c r="K2" s="42" t="s">
        <v>52</v>
      </c>
      <c r="L2" s="42" t="s">
        <v>46</v>
      </c>
      <c r="M2" s="42" t="s">
        <v>50</v>
      </c>
      <c r="N2" s="42" t="s">
        <v>45</v>
      </c>
      <c r="O2" s="42" t="s">
        <v>51</v>
      </c>
      <c r="P2" s="31">
        <v>0</v>
      </c>
    </row>
    <row r="3" spans="2:16" ht="12.75">
      <c r="B3" s="11" t="s">
        <v>110</v>
      </c>
      <c r="C3" s="11" t="s">
        <v>108</v>
      </c>
      <c r="D3" s="6"/>
      <c r="E3" s="7">
        <v>0.38</v>
      </c>
      <c r="F3" s="37">
        <v>1</v>
      </c>
      <c r="G3" s="37">
        <v>1</v>
      </c>
      <c r="H3" s="12">
        <f>+'Sıcaklık Farkları'!E38</f>
        <v>19</v>
      </c>
      <c r="I3" s="12">
        <f>+'Sıcaklık Farkları'!E31</f>
        <v>16</v>
      </c>
      <c r="J3" s="12">
        <f>+'Sıcaklık Farkları'!E32</f>
        <v>22</v>
      </c>
      <c r="K3" s="12">
        <f>+'Sıcaklık Farkları'!E33</f>
        <v>21</v>
      </c>
      <c r="L3" s="12">
        <f>+'Sıcaklık Farkları'!E34</f>
        <v>17</v>
      </c>
      <c r="M3" s="12">
        <f>+'Sıcaklık Farkları'!E35</f>
        <v>25</v>
      </c>
      <c r="N3" s="12">
        <f>+'Sıcaklık Farkları'!E36</f>
        <v>27</v>
      </c>
      <c r="O3" s="12">
        <f>+'Sıcaklık Farkları'!E37</f>
        <v>22</v>
      </c>
      <c r="P3" s="31">
        <v>0</v>
      </c>
    </row>
    <row r="4" spans="2:16" ht="12.75">
      <c r="B4" s="11" t="s">
        <v>111</v>
      </c>
      <c r="C4" s="11" t="s">
        <v>109</v>
      </c>
      <c r="D4" s="6"/>
      <c r="E4" s="7"/>
      <c r="F4" s="37">
        <v>1</v>
      </c>
      <c r="G4" s="37">
        <v>1</v>
      </c>
      <c r="H4" s="12">
        <f>+H3</f>
        <v>19</v>
      </c>
      <c r="I4" s="12">
        <f aca="true" t="shared" si="0" ref="I4:O5">+I3</f>
        <v>16</v>
      </c>
      <c r="J4" s="12">
        <f t="shared" si="0"/>
        <v>22</v>
      </c>
      <c r="K4" s="12">
        <f t="shared" si="0"/>
        <v>21</v>
      </c>
      <c r="L4" s="12">
        <f t="shared" si="0"/>
        <v>17</v>
      </c>
      <c r="M4" s="12">
        <f t="shared" si="0"/>
        <v>25</v>
      </c>
      <c r="N4" s="12">
        <f t="shared" si="0"/>
        <v>27</v>
      </c>
      <c r="O4" s="12">
        <f t="shared" si="0"/>
        <v>22</v>
      </c>
      <c r="P4" s="31">
        <v>0</v>
      </c>
    </row>
    <row r="5" spans="2:16" ht="12.75">
      <c r="B5" s="11" t="s">
        <v>112</v>
      </c>
      <c r="C5" s="11" t="s">
        <v>394</v>
      </c>
      <c r="D5" s="6"/>
      <c r="E5" s="7">
        <v>2</v>
      </c>
      <c r="F5" s="37">
        <v>1</v>
      </c>
      <c r="G5" s="37">
        <v>1</v>
      </c>
      <c r="H5" s="12">
        <f>+H4</f>
        <v>19</v>
      </c>
      <c r="I5" s="12">
        <f t="shared" si="0"/>
        <v>16</v>
      </c>
      <c r="J5" s="12">
        <f t="shared" si="0"/>
        <v>22</v>
      </c>
      <c r="K5" s="12">
        <f t="shared" si="0"/>
        <v>21</v>
      </c>
      <c r="L5" s="12">
        <f t="shared" si="0"/>
        <v>17</v>
      </c>
      <c r="M5" s="12">
        <f t="shared" si="0"/>
        <v>25</v>
      </c>
      <c r="N5" s="12">
        <f t="shared" si="0"/>
        <v>27</v>
      </c>
      <c r="O5" s="12">
        <f t="shared" si="0"/>
        <v>22</v>
      </c>
      <c r="P5" s="31">
        <v>0</v>
      </c>
    </row>
    <row r="6" spans="2:16" ht="12.75">
      <c r="B6" s="11" t="s">
        <v>113</v>
      </c>
      <c r="C6" s="11" t="s">
        <v>395</v>
      </c>
      <c r="D6" s="6"/>
      <c r="E6" s="7"/>
      <c r="F6" s="37">
        <v>1</v>
      </c>
      <c r="G6" s="37">
        <v>1</v>
      </c>
      <c r="H6" s="12">
        <f>+H5</f>
        <v>19</v>
      </c>
      <c r="I6" s="12">
        <f aca="true" t="shared" si="1" ref="I6:O6">+I5</f>
        <v>16</v>
      </c>
      <c r="J6" s="12">
        <f t="shared" si="1"/>
        <v>22</v>
      </c>
      <c r="K6" s="12">
        <f t="shared" si="1"/>
        <v>21</v>
      </c>
      <c r="L6" s="12">
        <f t="shared" si="1"/>
        <v>17</v>
      </c>
      <c r="M6" s="12">
        <f t="shared" si="1"/>
        <v>25</v>
      </c>
      <c r="N6" s="12">
        <f t="shared" si="1"/>
        <v>27</v>
      </c>
      <c r="O6" s="12">
        <f t="shared" si="1"/>
        <v>22</v>
      </c>
      <c r="P6" s="31">
        <v>0</v>
      </c>
    </row>
    <row r="7" spans="2:16" ht="12.75">
      <c r="B7" s="11" t="s">
        <v>116</v>
      </c>
      <c r="C7" s="11" t="s">
        <v>396</v>
      </c>
      <c r="D7" s="6"/>
      <c r="E7" s="265">
        <v>2.9</v>
      </c>
      <c r="F7" s="37">
        <v>1</v>
      </c>
      <c r="G7" s="37">
        <v>0.8</v>
      </c>
      <c r="H7" s="12">
        <f>+Hesap!J5-Hesap!K5</f>
        <v>9</v>
      </c>
      <c r="I7" s="12">
        <f>+H7</f>
        <v>9</v>
      </c>
      <c r="J7" s="12">
        <f aca="true" t="shared" si="2" ref="J7:O7">+I7</f>
        <v>9</v>
      </c>
      <c r="K7" s="12">
        <f t="shared" si="2"/>
        <v>9</v>
      </c>
      <c r="L7" s="12">
        <f t="shared" si="2"/>
        <v>9</v>
      </c>
      <c r="M7" s="12">
        <f t="shared" si="2"/>
        <v>9</v>
      </c>
      <c r="N7" s="12">
        <f t="shared" si="2"/>
        <v>9</v>
      </c>
      <c r="O7" s="12">
        <f t="shared" si="2"/>
        <v>9</v>
      </c>
      <c r="P7" s="31">
        <v>0</v>
      </c>
    </row>
    <row r="8" spans="2:16" ht="12.75">
      <c r="B8" s="11" t="s">
        <v>117</v>
      </c>
      <c r="C8" s="11" t="s">
        <v>397</v>
      </c>
      <c r="D8" s="6"/>
      <c r="E8" s="7">
        <v>2</v>
      </c>
      <c r="F8" s="37">
        <v>1</v>
      </c>
      <c r="G8" s="37">
        <v>0.8</v>
      </c>
      <c r="H8" s="12">
        <f>+H7</f>
        <v>9</v>
      </c>
      <c r="I8" s="12">
        <f>+H8</f>
        <v>9</v>
      </c>
      <c r="J8" s="12">
        <f aca="true" t="shared" si="3" ref="J8:O8">+I8</f>
        <v>9</v>
      </c>
      <c r="K8" s="12">
        <f t="shared" si="3"/>
        <v>9</v>
      </c>
      <c r="L8" s="12">
        <f t="shared" si="3"/>
        <v>9</v>
      </c>
      <c r="M8" s="12">
        <f t="shared" si="3"/>
        <v>9</v>
      </c>
      <c r="N8" s="12">
        <f t="shared" si="3"/>
        <v>9</v>
      </c>
      <c r="O8" s="12">
        <f t="shared" si="3"/>
        <v>9</v>
      </c>
      <c r="P8" s="31">
        <v>0</v>
      </c>
    </row>
    <row r="9" spans="2:16" ht="12.75">
      <c r="B9" s="11" t="s">
        <v>118</v>
      </c>
      <c r="C9" s="11" t="s">
        <v>120</v>
      </c>
      <c r="D9" s="6"/>
      <c r="E9" s="7"/>
      <c r="F9" s="37">
        <v>1</v>
      </c>
      <c r="G9" s="37">
        <v>1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31">
        <v>0</v>
      </c>
    </row>
    <row r="10" spans="2:16" ht="12.75">
      <c r="B10" s="11" t="s">
        <v>119</v>
      </c>
      <c r="C10" s="11" t="s">
        <v>121</v>
      </c>
      <c r="D10" s="6"/>
      <c r="E10" s="7"/>
      <c r="F10" s="37">
        <v>1</v>
      </c>
      <c r="G10" s="37">
        <v>1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31">
        <v>0</v>
      </c>
    </row>
    <row r="11" spans="2:16" ht="12.75">
      <c r="B11" s="11" t="s">
        <v>122</v>
      </c>
      <c r="C11" s="11" t="s">
        <v>123</v>
      </c>
      <c r="D11" s="6"/>
      <c r="E11" s="7"/>
      <c r="F11" s="37">
        <v>1</v>
      </c>
      <c r="G11" s="37">
        <v>1</v>
      </c>
      <c r="H11" s="12">
        <v>28</v>
      </c>
      <c r="I11" s="12">
        <v>28</v>
      </c>
      <c r="J11" s="12">
        <v>28</v>
      </c>
      <c r="K11" s="12">
        <v>28</v>
      </c>
      <c r="L11" s="12">
        <v>28</v>
      </c>
      <c r="M11" s="12">
        <v>28</v>
      </c>
      <c r="N11" s="12">
        <v>28</v>
      </c>
      <c r="O11" s="12">
        <v>28</v>
      </c>
      <c r="P11" s="31">
        <v>0</v>
      </c>
    </row>
    <row r="12" spans="2:16" ht="12.75">
      <c r="B12" s="11" t="s">
        <v>124</v>
      </c>
      <c r="C12" s="11" t="s">
        <v>125</v>
      </c>
      <c r="D12" s="6"/>
      <c r="E12" s="7"/>
      <c r="F12" s="37">
        <v>1</v>
      </c>
      <c r="G12" s="37">
        <v>1</v>
      </c>
      <c r="H12" s="12">
        <v>28</v>
      </c>
      <c r="I12" s="12">
        <v>28</v>
      </c>
      <c r="J12" s="12">
        <v>28</v>
      </c>
      <c r="K12" s="12">
        <v>28</v>
      </c>
      <c r="L12" s="12">
        <v>28</v>
      </c>
      <c r="M12" s="12">
        <v>28</v>
      </c>
      <c r="N12" s="12">
        <v>28</v>
      </c>
      <c r="O12" s="12">
        <v>28</v>
      </c>
      <c r="P12" s="31">
        <v>0</v>
      </c>
    </row>
    <row r="13" spans="2:16" ht="12.75">
      <c r="B13" s="11" t="s">
        <v>126</v>
      </c>
      <c r="C13" s="11" t="s">
        <v>128</v>
      </c>
      <c r="D13" s="6"/>
      <c r="E13" s="7"/>
      <c r="F13" s="37">
        <v>1</v>
      </c>
      <c r="G13" s="37">
        <v>1</v>
      </c>
      <c r="H13" s="12">
        <v>8</v>
      </c>
      <c r="I13" s="12">
        <v>8</v>
      </c>
      <c r="J13" s="12">
        <v>8</v>
      </c>
      <c r="K13" s="12">
        <v>8</v>
      </c>
      <c r="L13" s="12">
        <v>8</v>
      </c>
      <c r="M13" s="12">
        <v>8</v>
      </c>
      <c r="N13" s="12">
        <v>8</v>
      </c>
      <c r="O13" s="12">
        <v>8</v>
      </c>
      <c r="P13" s="31">
        <v>0</v>
      </c>
    </row>
    <row r="14" spans="2:16" ht="12.75">
      <c r="B14" s="11" t="s">
        <v>127</v>
      </c>
      <c r="C14" s="11" t="s">
        <v>129</v>
      </c>
      <c r="D14" s="6"/>
      <c r="E14" s="7"/>
      <c r="F14" s="37">
        <v>1</v>
      </c>
      <c r="G14" s="37">
        <v>1</v>
      </c>
      <c r="H14" s="12">
        <v>8</v>
      </c>
      <c r="I14" s="12">
        <v>8</v>
      </c>
      <c r="J14" s="12">
        <v>8</v>
      </c>
      <c r="K14" s="12">
        <v>8</v>
      </c>
      <c r="L14" s="12">
        <v>8</v>
      </c>
      <c r="M14" s="12">
        <v>8</v>
      </c>
      <c r="N14" s="12">
        <v>8</v>
      </c>
      <c r="O14" s="12">
        <v>8</v>
      </c>
      <c r="P14" s="31">
        <v>0</v>
      </c>
    </row>
    <row r="15" spans="2:16" ht="12.75">
      <c r="B15" s="11" t="s">
        <v>130</v>
      </c>
      <c r="C15" s="11" t="s">
        <v>132</v>
      </c>
      <c r="D15" s="6"/>
      <c r="E15" s="7">
        <v>0.37</v>
      </c>
      <c r="F15" s="37">
        <v>1</v>
      </c>
      <c r="G15" s="37">
        <v>1</v>
      </c>
      <c r="H15" s="12">
        <v>20</v>
      </c>
      <c r="I15" s="12">
        <v>20</v>
      </c>
      <c r="J15" s="12">
        <v>20</v>
      </c>
      <c r="K15" s="12">
        <v>20</v>
      </c>
      <c r="L15" s="12">
        <v>20</v>
      </c>
      <c r="M15" s="12">
        <v>20</v>
      </c>
      <c r="N15" s="12">
        <v>20</v>
      </c>
      <c r="O15" s="12">
        <v>20</v>
      </c>
      <c r="P15" s="31">
        <v>0</v>
      </c>
    </row>
    <row r="16" spans="2:16" ht="12.75">
      <c r="B16" s="11" t="s">
        <v>131</v>
      </c>
      <c r="C16" s="11" t="s">
        <v>133</v>
      </c>
      <c r="D16" s="6"/>
      <c r="E16" s="7"/>
      <c r="F16" s="37">
        <v>1</v>
      </c>
      <c r="G16" s="37">
        <v>1</v>
      </c>
      <c r="H16" s="12">
        <v>20</v>
      </c>
      <c r="I16" s="12">
        <v>20</v>
      </c>
      <c r="J16" s="12">
        <v>20</v>
      </c>
      <c r="K16" s="12">
        <v>20</v>
      </c>
      <c r="L16" s="12">
        <v>20</v>
      </c>
      <c r="M16" s="12">
        <v>20</v>
      </c>
      <c r="N16" s="12">
        <v>20</v>
      </c>
      <c r="O16" s="12">
        <v>20</v>
      </c>
      <c r="P16" s="31">
        <v>0</v>
      </c>
    </row>
    <row r="17" spans="2:16" ht="12.75">
      <c r="B17" s="11" t="s">
        <v>194</v>
      </c>
      <c r="C17" s="11">
        <v>0</v>
      </c>
      <c r="D17" s="6"/>
      <c r="E17" s="12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31">
        <v>0</v>
      </c>
    </row>
    <row r="18" spans="2:16" ht="12.75">
      <c r="B18" s="31"/>
      <c r="C18" s="31">
        <v>1</v>
      </c>
      <c r="D18" s="31">
        <v>2</v>
      </c>
      <c r="E18" s="43">
        <v>3</v>
      </c>
      <c r="F18" s="43">
        <v>4</v>
      </c>
      <c r="G18" s="43">
        <v>5</v>
      </c>
      <c r="H18" s="43">
        <v>6</v>
      </c>
      <c r="I18" s="43">
        <v>7</v>
      </c>
      <c r="J18" s="43">
        <v>8</v>
      </c>
      <c r="K18" s="43">
        <v>9</v>
      </c>
      <c r="L18" s="43">
        <v>10</v>
      </c>
      <c r="M18" s="43">
        <v>11</v>
      </c>
      <c r="N18" s="43">
        <v>12</v>
      </c>
      <c r="O18" s="43">
        <v>13</v>
      </c>
      <c r="P18" s="31"/>
    </row>
    <row r="20" spans="5:6" ht="12.75">
      <c r="E20" s="43" t="s">
        <v>43</v>
      </c>
      <c r="F20" s="44">
        <v>6</v>
      </c>
    </row>
    <row r="21" spans="5:6" ht="12.75">
      <c r="E21" s="43" t="s">
        <v>49</v>
      </c>
      <c r="F21" s="44">
        <v>7</v>
      </c>
    </row>
    <row r="22" spans="5:6" ht="12.75">
      <c r="E22" s="43" t="s">
        <v>44</v>
      </c>
      <c r="F22" s="44">
        <v>8</v>
      </c>
    </row>
    <row r="23" spans="5:6" ht="12.75">
      <c r="E23" s="43" t="s">
        <v>52</v>
      </c>
      <c r="F23" s="44">
        <v>9</v>
      </c>
    </row>
    <row r="24" spans="5:6" ht="12.75">
      <c r="E24" s="43" t="s">
        <v>46</v>
      </c>
      <c r="F24" s="44">
        <v>10</v>
      </c>
    </row>
    <row r="25" spans="5:6" ht="12.75">
      <c r="E25" s="43" t="s">
        <v>50</v>
      </c>
      <c r="F25" s="44">
        <v>11</v>
      </c>
    </row>
    <row r="26" spans="5:6" ht="12.75">
      <c r="E26" s="43" t="s">
        <v>45</v>
      </c>
      <c r="F26" s="44">
        <v>12</v>
      </c>
    </row>
    <row r="27" spans="5:6" ht="12.75">
      <c r="E27" s="43" t="s">
        <v>51</v>
      </c>
      <c r="F27" s="44">
        <v>13</v>
      </c>
    </row>
    <row r="28" spans="5:6" ht="12.75">
      <c r="E28" s="43">
        <v>0</v>
      </c>
      <c r="F28" s="44">
        <v>14</v>
      </c>
    </row>
  </sheetData>
  <sheetProtection/>
  <mergeCells count="3">
    <mergeCell ref="B1:C2"/>
    <mergeCell ref="D1:D2"/>
    <mergeCell ref="H1:O1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4"/>
  <dimension ref="B4:D184"/>
  <sheetViews>
    <sheetView zoomScale="75" zoomScaleNormal="75" zoomScalePageLayoutView="0" workbookViewId="0" topLeftCell="A1">
      <selection activeCell="B33" sqref="B33"/>
    </sheetView>
  </sheetViews>
  <sheetFormatPr defaultColWidth="9.140625" defaultRowHeight="12.75"/>
  <cols>
    <col min="1" max="1" width="4.140625" style="46" customWidth="1"/>
    <col min="2" max="2" width="120.57421875" style="46" bestFit="1" customWidth="1"/>
    <col min="3" max="3" width="12.140625" style="46" bestFit="1" customWidth="1"/>
    <col min="4" max="4" width="14.00390625" style="46" bestFit="1" customWidth="1"/>
    <col min="5" max="16384" width="9.140625" style="46" customWidth="1"/>
  </cols>
  <sheetData>
    <row r="4" ht="12.75">
      <c r="B4" s="47" t="s">
        <v>196</v>
      </c>
    </row>
    <row r="7" spans="2:4" s="47" customFormat="1" ht="51">
      <c r="B7" s="47" t="s">
        <v>197</v>
      </c>
      <c r="C7" s="48" t="s">
        <v>198</v>
      </c>
      <c r="D7" s="48" t="s">
        <v>199</v>
      </c>
    </row>
    <row r="8" spans="2:4" ht="12.75">
      <c r="B8" s="46" t="s">
        <v>200</v>
      </c>
      <c r="C8" s="46">
        <v>2800</v>
      </c>
      <c r="D8" s="46">
        <v>3</v>
      </c>
    </row>
    <row r="9" spans="2:4" ht="12.75">
      <c r="B9" s="46" t="s">
        <v>201</v>
      </c>
      <c r="C9" s="46">
        <v>2600</v>
      </c>
      <c r="D9" s="46">
        <v>2</v>
      </c>
    </row>
    <row r="10" spans="2:4" ht="12.75">
      <c r="B10" s="46" t="s">
        <v>202</v>
      </c>
      <c r="C10" s="46">
        <v>1600</v>
      </c>
      <c r="D10" s="46">
        <v>0.47</v>
      </c>
    </row>
    <row r="11" spans="2:4" ht="12.75">
      <c r="B11" s="46" t="s">
        <v>203</v>
      </c>
      <c r="C11" s="46">
        <v>1800</v>
      </c>
      <c r="D11" s="46">
        <v>1.2</v>
      </c>
    </row>
    <row r="12" spans="2:4" ht="12.75">
      <c r="B12" s="46" t="s">
        <v>204</v>
      </c>
      <c r="C12" s="46">
        <v>1800</v>
      </c>
      <c r="D12" s="46">
        <v>1.2</v>
      </c>
    </row>
    <row r="13" spans="2:4" ht="12.75">
      <c r="B13" s="46" t="s">
        <v>205</v>
      </c>
      <c r="C13" s="46">
        <v>2000</v>
      </c>
      <c r="D13" s="46">
        <v>1.8</v>
      </c>
    </row>
    <row r="14" spans="2:4" ht="12.75">
      <c r="B14" s="46" t="s">
        <v>206</v>
      </c>
      <c r="C14" s="46">
        <v>1800</v>
      </c>
      <c r="D14" s="46">
        <v>1.2</v>
      </c>
    </row>
    <row r="15" spans="2:4" ht="12.75">
      <c r="B15" s="46" t="s">
        <v>207</v>
      </c>
      <c r="C15" s="46">
        <v>1800</v>
      </c>
      <c r="D15" s="46">
        <v>1.2</v>
      </c>
    </row>
    <row r="16" spans="2:4" ht="12.75">
      <c r="B16" s="46" t="s">
        <v>208</v>
      </c>
      <c r="C16" s="46">
        <v>2000</v>
      </c>
      <c r="D16" s="46">
        <v>1.8</v>
      </c>
    </row>
    <row r="17" spans="2:4" ht="12.75">
      <c r="B17" s="46" t="s">
        <v>209</v>
      </c>
      <c r="C17" s="46">
        <v>600</v>
      </c>
      <c r="D17" s="46">
        <v>0.11</v>
      </c>
    </row>
    <row r="18" spans="2:4" ht="12.75">
      <c r="B18" s="46" t="s">
        <v>210</v>
      </c>
      <c r="C18" s="46">
        <v>1000</v>
      </c>
      <c r="D18" s="46">
        <v>0.2</v>
      </c>
    </row>
    <row r="19" spans="2:4" ht="12.75">
      <c r="B19" s="46" t="s">
        <v>211</v>
      </c>
      <c r="C19" s="46">
        <v>1200</v>
      </c>
      <c r="D19" s="46">
        <v>0.19</v>
      </c>
    </row>
    <row r="20" spans="2:4" ht="12.75">
      <c r="B20" s="46" t="s">
        <v>212</v>
      </c>
      <c r="C20" s="46">
        <v>1500</v>
      </c>
      <c r="D20" s="46">
        <v>0.23</v>
      </c>
    </row>
    <row r="21" spans="2:4" ht="12.75">
      <c r="B21" s="46" t="s">
        <v>213</v>
      </c>
      <c r="C21" s="46">
        <v>200</v>
      </c>
      <c r="D21" s="46">
        <v>0.07</v>
      </c>
    </row>
    <row r="22" spans="2:4" ht="12.75">
      <c r="B22" s="46" t="s">
        <v>214</v>
      </c>
      <c r="C22" s="46">
        <v>200</v>
      </c>
      <c r="D22" s="46">
        <v>0.043</v>
      </c>
    </row>
    <row r="23" spans="2:4" ht="12.75">
      <c r="B23" s="46" t="s">
        <v>215</v>
      </c>
      <c r="C23" s="46">
        <v>15</v>
      </c>
      <c r="D23" s="46">
        <v>0.039</v>
      </c>
    </row>
    <row r="24" spans="2:4" ht="12.75">
      <c r="B24" s="46" t="s">
        <v>216</v>
      </c>
      <c r="C24" s="46">
        <v>200</v>
      </c>
      <c r="D24" s="46">
        <v>0.06</v>
      </c>
    </row>
    <row r="25" spans="2:4" ht="12.75">
      <c r="B25" s="46" t="s">
        <v>217</v>
      </c>
      <c r="C25" s="46">
        <v>1800</v>
      </c>
      <c r="D25" s="46">
        <v>0.75</v>
      </c>
    </row>
    <row r="26" spans="2:4" ht="12.75">
      <c r="B26" s="46" t="s">
        <v>218</v>
      </c>
      <c r="C26" s="46">
        <v>1800</v>
      </c>
      <c r="D26" s="46">
        <v>0.75</v>
      </c>
    </row>
    <row r="27" spans="2:4" ht="12.75">
      <c r="B27" s="46" t="s">
        <v>219</v>
      </c>
      <c r="C27" s="46">
        <v>2000</v>
      </c>
      <c r="D27" s="46">
        <v>1.2</v>
      </c>
    </row>
    <row r="28" spans="2:4" ht="12.75">
      <c r="B28" s="46" t="s">
        <v>220</v>
      </c>
      <c r="C28" s="46">
        <v>1400</v>
      </c>
      <c r="D28" s="46">
        <v>0.6</v>
      </c>
    </row>
    <row r="29" spans="2:4" ht="12.75">
      <c r="B29" s="46" t="s">
        <v>221</v>
      </c>
      <c r="C29" s="46">
        <v>1200</v>
      </c>
      <c r="D29" s="46">
        <v>0.3</v>
      </c>
    </row>
    <row r="30" spans="2:4" ht="12.75">
      <c r="B30" s="46" t="s">
        <v>222</v>
      </c>
      <c r="C30" s="46">
        <v>2000</v>
      </c>
      <c r="D30" s="46">
        <v>1.03</v>
      </c>
    </row>
    <row r="31" spans="2:4" ht="12.75">
      <c r="B31" s="46" t="s">
        <v>223</v>
      </c>
      <c r="C31" s="46">
        <v>2000</v>
      </c>
      <c r="D31" s="46">
        <v>1.2</v>
      </c>
    </row>
    <row r="32" spans="2:4" ht="12.75">
      <c r="B32" s="46" t="s">
        <v>224</v>
      </c>
      <c r="C32" s="46">
        <v>2300</v>
      </c>
      <c r="D32" s="46">
        <v>0.77</v>
      </c>
    </row>
    <row r="33" spans="2:4" ht="12.75">
      <c r="B33" s="46" t="s">
        <v>225</v>
      </c>
      <c r="C33" s="46">
        <v>1200</v>
      </c>
      <c r="D33" s="46">
        <v>0.4</v>
      </c>
    </row>
    <row r="34" spans="2:4" ht="12.75">
      <c r="B34" s="46" t="s">
        <v>226</v>
      </c>
      <c r="C34" s="46">
        <v>800</v>
      </c>
      <c r="D34" s="46">
        <v>0.26</v>
      </c>
    </row>
    <row r="35" spans="2:4" ht="12.75">
      <c r="B35" s="46" t="s">
        <v>227</v>
      </c>
      <c r="C35" s="46">
        <v>400</v>
      </c>
      <c r="D35" s="46">
        <v>0.12</v>
      </c>
    </row>
    <row r="36" spans="2:4" ht="12.75">
      <c r="B36" s="46" t="s">
        <v>227</v>
      </c>
      <c r="C36" s="46">
        <v>500</v>
      </c>
      <c r="D36" s="46">
        <v>0.14</v>
      </c>
    </row>
    <row r="37" spans="2:4" ht="12.75">
      <c r="B37" s="46" t="s">
        <v>227</v>
      </c>
      <c r="C37" s="46">
        <v>600</v>
      </c>
      <c r="D37" s="46">
        <v>0.17</v>
      </c>
    </row>
    <row r="38" spans="2:4" ht="12.75">
      <c r="B38" s="46" t="s">
        <v>227</v>
      </c>
      <c r="C38" s="46">
        <v>700</v>
      </c>
      <c r="D38" s="46">
        <v>0.21</v>
      </c>
    </row>
    <row r="39" spans="2:4" ht="12.75">
      <c r="B39" s="46" t="s">
        <v>227</v>
      </c>
      <c r="C39" s="46">
        <v>800</v>
      </c>
      <c r="D39" s="46">
        <v>0.25</v>
      </c>
    </row>
    <row r="40" spans="2:4" ht="12.75">
      <c r="B40" s="46" t="s">
        <v>228</v>
      </c>
      <c r="C40" s="46">
        <v>2400</v>
      </c>
      <c r="D40" s="46">
        <v>1.8</v>
      </c>
    </row>
    <row r="41" spans="2:4" ht="12.75">
      <c r="B41" s="46" t="s">
        <v>229</v>
      </c>
      <c r="C41" s="46">
        <v>2200</v>
      </c>
      <c r="D41" s="46">
        <v>1.5</v>
      </c>
    </row>
    <row r="42" spans="2:4" ht="12.75">
      <c r="B42" s="46" t="s">
        <v>230</v>
      </c>
      <c r="C42" s="46">
        <v>1200</v>
      </c>
      <c r="D42" s="46">
        <v>0.5</v>
      </c>
    </row>
    <row r="43" spans="2:4" ht="12.75">
      <c r="B43" s="46" t="s">
        <v>230</v>
      </c>
      <c r="C43" s="46">
        <v>1400</v>
      </c>
      <c r="D43" s="46">
        <v>0.62</v>
      </c>
    </row>
    <row r="44" spans="2:4" ht="12.75">
      <c r="B44" s="46" t="s">
        <v>230</v>
      </c>
      <c r="C44" s="46">
        <v>1600</v>
      </c>
      <c r="D44" s="46">
        <v>0.75</v>
      </c>
    </row>
    <row r="45" spans="2:4" ht="12.75">
      <c r="B45" s="46" t="s">
        <v>230</v>
      </c>
      <c r="C45" s="46">
        <v>1800</v>
      </c>
      <c r="D45" s="46">
        <v>0.85</v>
      </c>
    </row>
    <row r="46" spans="2:4" ht="12.75">
      <c r="B46" s="46" t="s">
        <v>230</v>
      </c>
      <c r="C46" s="46">
        <v>2000</v>
      </c>
      <c r="D46" s="46">
        <v>1.03</v>
      </c>
    </row>
    <row r="47" spans="2:4" ht="12.75">
      <c r="B47" s="46" t="s">
        <v>231</v>
      </c>
      <c r="C47" s="46">
        <v>1000</v>
      </c>
      <c r="D47" s="46">
        <v>0.33</v>
      </c>
    </row>
    <row r="48" spans="2:4" ht="12.75">
      <c r="B48" s="46" t="s">
        <v>231</v>
      </c>
      <c r="C48" s="46">
        <v>1100</v>
      </c>
      <c r="D48" s="46">
        <v>0.4</v>
      </c>
    </row>
    <row r="49" spans="2:4" ht="12.75">
      <c r="B49" s="46" t="s">
        <v>231</v>
      </c>
      <c r="C49" s="46">
        <v>1200</v>
      </c>
      <c r="D49" s="46">
        <v>0.43</v>
      </c>
    </row>
    <row r="50" spans="2:4" ht="12.75">
      <c r="B50" s="46" t="s">
        <v>231</v>
      </c>
      <c r="C50" s="46">
        <v>1300</v>
      </c>
      <c r="D50" s="46">
        <v>0.48</v>
      </c>
    </row>
    <row r="51" spans="2:4" ht="12.75">
      <c r="B51" s="46" t="s">
        <v>232</v>
      </c>
      <c r="C51" s="46">
        <v>300</v>
      </c>
      <c r="D51" s="46">
        <v>0.09</v>
      </c>
    </row>
    <row r="52" spans="2:4" ht="12.75">
      <c r="B52" s="46" t="s">
        <v>232</v>
      </c>
      <c r="C52" s="46">
        <v>400</v>
      </c>
      <c r="D52" s="46">
        <v>0.11</v>
      </c>
    </row>
    <row r="53" spans="2:4" ht="12.75">
      <c r="B53" s="46" t="s">
        <v>232</v>
      </c>
      <c r="C53" s="46">
        <v>500</v>
      </c>
      <c r="D53" s="46">
        <v>0.13</v>
      </c>
    </row>
    <row r="54" spans="2:4" ht="12.75">
      <c r="B54" s="46" t="s">
        <v>232</v>
      </c>
      <c r="C54" s="46">
        <v>600</v>
      </c>
      <c r="D54" s="46">
        <v>0.16</v>
      </c>
    </row>
    <row r="55" spans="2:4" ht="12.75">
      <c r="B55" s="46" t="s">
        <v>232</v>
      </c>
      <c r="C55" s="46">
        <v>800</v>
      </c>
      <c r="D55" s="46">
        <v>0.21</v>
      </c>
    </row>
    <row r="56" spans="2:4" ht="12.75">
      <c r="B56" s="46" t="s">
        <v>232</v>
      </c>
      <c r="C56" s="46">
        <v>900</v>
      </c>
      <c r="D56" s="46">
        <v>0.23</v>
      </c>
    </row>
    <row r="57" spans="2:4" ht="12.75">
      <c r="B57" s="46" t="s">
        <v>232</v>
      </c>
      <c r="C57" s="46">
        <v>1000</v>
      </c>
      <c r="D57" s="46">
        <v>0.26</v>
      </c>
    </row>
    <row r="58" spans="2:4" ht="12.75">
      <c r="B58" s="46" t="s">
        <v>232</v>
      </c>
      <c r="C58" s="46">
        <v>1200</v>
      </c>
      <c r="D58" s="46">
        <v>0.3</v>
      </c>
    </row>
    <row r="59" spans="2:4" ht="12.75">
      <c r="B59" s="46" t="s">
        <v>232</v>
      </c>
      <c r="C59" s="46">
        <v>1400</v>
      </c>
      <c r="D59" s="46">
        <v>0.36</v>
      </c>
    </row>
    <row r="60" spans="2:4" ht="12.75">
      <c r="B60" s="46" t="s">
        <v>232</v>
      </c>
      <c r="C60" s="46">
        <v>1600</v>
      </c>
      <c r="D60" s="46">
        <v>0.42</v>
      </c>
    </row>
    <row r="61" spans="2:4" ht="12.75">
      <c r="B61" s="46" t="s">
        <v>232</v>
      </c>
      <c r="C61" s="46">
        <v>700</v>
      </c>
      <c r="D61" s="46">
        <v>0.18</v>
      </c>
    </row>
    <row r="62" spans="2:4" ht="12.75">
      <c r="B62" s="46" t="s">
        <v>233</v>
      </c>
      <c r="C62" s="46">
        <v>1600</v>
      </c>
      <c r="D62" s="46">
        <v>0.42</v>
      </c>
    </row>
    <row r="63" spans="2:4" ht="12.75">
      <c r="B63" s="46" t="s">
        <v>234</v>
      </c>
      <c r="C63" s="46">
        <v>1200</v>
      </c>
      <c r="D63" s="46">
        <v>0.5</v>
      </c>
    </row>
    <row r="64" spans="2:4" ht="12.75">
      <c r="B64" s="46" t="s">
        <v>234</v>
      </c>
      <c r="C64" s="46">
        <v>1400</v>
      </c>
      <c r="D64" s="46">
        <v>0.62</v>
      </c>
    </row>
    <row r="65" spans="2:4" ht="12.75">
      <c r="B65" s="46" t="s">
        <v>234</v>
      </c>
      <c r="C65" s="46">
        <v>1600</v>
      </c>
      <c r="D65" s="46">
        <v>0.75</v>
      </c>
    </row>
    <row r="66" spans="2:4" ht="12.75">
      <c r="B66" s="46" t="s">
        <v>234</v>
      </c>
      <c r="C66" s="46">
        <v>1800</v>
      </c>
      <c r="D66" s="46">
        <v>0.85</v>
      </c>
    </row>
    <row r="67" spans="2:4" ht="12.75">
      <c r="B67" s="46" t="s">
        <v>234</v>
      </c>
      <c r="C67" s="46">
        <v>2000</v>
      </c>
      <c r="D67" s="46">
        <v>1.03</v>
      </c>
    </row>
    <row r="68" spans="2:4" ht="12.75">
      <c r="B68" s="46" t="s">
        <v>235</v>
      </c>
      <c r="C68" s="46">
        <v>600</v>
      </c>
      <c r="D68" s="46">
        <v>0.19</v>
      </c>
    </row>
    <row r="69" spans="2:4" ht="12.75">
      <c r="B69" s="46" t="s">
        <v>235</v>
      </c>
      <c r="C69" s="46">
        <v>700</v>
      </c>
      <c r="D69" s="46">
        <v>0.22</v>
      </c>
    </row>
    <row r="70" spans="2:4" ht="12.75">
      <c r="B70" s="46" t="s">
        <v>235</v>
      </c>
      <c r="C70" s="46">
        <v>1000</v>
      </c>
      <c r="D70" s="46">
        <v>0.31</v>
      </c>
    </row>
    <row r="71" spans="2:4" ht="12.75">
      <c r="B71" s="46" t="s">
        <v>235</v>
      </c>
      <c r="C71" s="46">
        <v>1200</v>
      </c>
      <c r="D71" s="46">
        <v>0.4</v>
      </c>
    </row>
    <row r="72" spans="2:4" ht="12.75">
      <c r="B72" s="46" t="s">
        <v>235</v>
      </c>
      <c r="C72" s="46">
        <v>1400</v>
      </c>
      <c r="D72" s="46">
        <v>0.49</v>
      </c>
    </row>
    <row r="73" spans="2:4" ht="12.75">
      <c r="B73" s="46" t="s">
        <v>235</v>
      </c>
      <c r="C73" s="46">
        <v>1600</v>
      </c>
      <c r="D73" s="46">
        <v>0.65</v>
      </c>
    </row>
    <row r="74" spans="2:4" ht="12.75">
      <c r="B74" s="46" t="s">
        <v>235</v>
      </c>
      <c r="C74" s="46">
        <v>1800</v>
      </c>
      <c r="D74" s="46">
        <v>0.79</v>
      </c>
    </row>
    <row r="75" spans="2:4" ht="12.75">
      <c r="B75" s="46" t="s">
        <v>235</v>
      </c>
      <c r="C75" s="46">
        <v>2000</v>
      </c>
      <c r="D75" s="46">
        <v>1.03</v>
      </c>
    </row>
    <row r="76" spans="2:4" ht="12.75">
      <c r="B76" s="46" t="s">
        <v>236</v>
      </c>
      <c r="C76" s="46">
        <v>600</v>
      </c>
      <c r="D76" s="46">
        <v>0.16</v>
      </c>
    </row>
    <row r="77" spans="2:4" ht="12.75">
      <c r="B77" s="46" t="s">
        <v>236</v>
      </c>
      <c r="C77" s="46">
        <v>700</v>
      </c>
      <c r="D77" s="46">
        <v>0.18</v>
      </c>
    </row>
    <row r="78" spans="2:4" ht="12.75">
      <c r="B78" s="46" t="s">
        <v>236</v>
      </c>
      <c r="C78" s="46">
        <v>800</v>
      </c>
      <c r="D78" s="46">
        <v>0.21</v>
      </c>
    </row>
    <row r="79" spans="2:4" ht="12.75">
      <c r="B79" s="46" t="s">
        <v>236</v>
      </c>
      <c r="C79" s="46">
        <v>900</v>
      </c>
      <c r="D79" s="46">
        <v>0.23</v>
      </c>
    </row>
    <row r="80" spans="2:4" ht="12.75">
      <c r="B80" s="46" t="s">
        <v>236</v>
      </c>
      <c r="C80" s="46">
        <v>1000</v>
      </c>
      <c r="D80" s="46">
        <v>0.28</v>
      </c>
    </row>
    <row r="81" spans="2:4" ht="12.75">
      <c r="B81" s="46" t="s">
        <v>236</v>
      </c>
      <c r="C81" s="46">
        <v>1200</v>
      </c>
      <c r="D81" s="46">
        <v>0.38</v>
      </c>
    </row>
    <row r="82" spans="2:4" ht="12.75">
      <c r="B82" s="46" t="s">
        <v>237</v>
      </c>
      <c r="C82" s="46">
        <v>400</v>
      </c>
      <c r="D82" s="46">
        <v>0.12</v>
      </c>
    </row>
    <row r="83" spans="2:4" ht="12.75">
      <c r="B83" s="46" t="s">
        <v>237</v>
      </c>
      <c r="C83" s="46">
        <v>600</v>
      </c>
      <c r="D83" s="46">
        <v>0.16</v>
      </c>
    </row>
    <row r="84" spans="2:4" ht="12.75">
      <c r="B84" s="46" t="s">
        <v>237</v>
      </c>
      <c r="C84" s="46">
        <v>800</v>
      </c>
      <c r="D84" s="46">
        <v>0.22</v>
      </c>
    </row>
    <row r="85" spans="2:4" ht="12.75">
      <c r="B85" s="46" t="s">
        <v>237</v>
      </c>
      <c r="C85" s="46">
        <v>1000</v>
      </c>
      <c r="D85" s="46">
        <v>0.3</v>
      </c>
    </row>
    <row r="86" spans="2:4" ht="12.75">
      <c r="B86" s="46" t="s">
        <v>237</v>
      </c>
      <c r="C86" s="46">
        <v>1200</v>
      </c>
      <c r="D86" s="46">
        <v>0.38</v>
      </c>
    </row>
    <row r="87" spans="2:4" ht="12.75">
      <c r="B87" s="46" t="s">
        <v>238</v>
      </c>
      <c r="C87" s="46">
        <v>600</v>
      </c>
      <c r="D87" s="46">
        <v>12</v>
      </c>
    </row>
    <row r="88" spans="2:4" ht="12.75">
      <c r="B88" s="46" t="s">
        <v>238</v>
      </c>
      <c r="C88" s="46">
        <v>700</v>
      </c>
      <c r="D88" s="46">
        <v>0.15</v>
      </c>
    </row>
    <row r="89" spans="2:4" ht="12.75">
      <c r="B89" s="46" t="s">
        <v>239</v>
      </c>
      <c r="C89" s="46">
        <v>2000</v>
      </c>
      <c r="D89" s="46">
        <v>0.5</v>
      </c>
    </row>
    <row r="90" spans="2:4" ht="12.75">
      <c r="B90" s="46" t="s">
        <v>240</v>
      </c>
      <c r="C90" s="46">
        <v>400</v>
      </c>
      <c r="D90" s="46">
        <v>0.12</v>
      </c>
    </row>
    <row r="91" spans="2:4" ht="12.75">
      <c r="B91" s="46" t="s">
        <v>240</v>
      </c>
      <c r="C91" s="46">
        <v>500</v>
      </c>
      <c r="D91" s="46">
        <v>0.14</v>
      </c>
    </row>
    <row r="92" spans="2:4" ht="12.75">
      <c r="B92" s="46" t="s">
        <v>240</v>
      </c>
      <c r="C92" s="46">
        <v>600</v>
      </c>
      <c r="D92" s="46">
        <v>0.16</v>
      </c>
    </row>
    <row r="93" spans="2:4" ht="12.75">
      <c r="B93" s="46" t="s">
        <v>240</v>
      </c>
      <c r="C93" s="46">
        <v>700</v>
      </c>
      <c r="D93" s="46">
        <v>0.18</v>
      </c>
    </row>
    <row r="94" spans="2:4" ht="12.75">
      <c r="B94" s="46" t="s">
        <v>240</v>
      </c>
      <c r="C94" s="46">
        <v>800</v>
      </c>
      <c r="D94" s="46">
        <v>0.2</v>
      </c>
    </row>
    <row r="95" spans="2:4" ht="12.75">
      <c r="B95" s="46" t="s">
        <v>241</v>
      </c>
      <c r="C95" s="46">
        <v>800</v>
      </c>
      <c r="D95" s="46">
        <v>0.25</v>
      </c>
    </row>
    <row r="96" spans="2:4" ht="12.75">
      <c r="B96" s="46" t="s">
        <v>241</v>
      </c>
      <c r="C96" s="46">
        <v>900</v>
      </c>
      <c r="D96" s="46">
        <v>0.28</v>
      </c>
    </row>
    <row r="97" spans="2:4" ht="12.75">
      <c r="B97" s="46" t="s">
        <v>241</v>
      </c>
      <c r="C97" s="46">
        <v>1000</v>
      </c>
      <c r="D97" s="46">
        <v>0.32</v>
      </c>
    </row>
    <row r="98" spans="2:4" ht="12.75">
      <c r="B98" s="46" t="s">
        <v>241</v>
      </c>
      <c r="C98" s="46">
        <v>1200</v>
      </c>
      <c r="D98" s="46">
        <v>0.4</v>
      </c>
    </row>
    <row r="99" spans="2:4" ht="12.75">
      <c r="B99" s="46" t="s">
        <v>242</v>
      </c>
      <c r="C99" s="46">
        <v>600</v>
      </c>
      <c r="D99" s="46">
        <v>0.5</v>
      </c>
    </row>
    <row r="100" spans="2:4" ht="12.75">
      <c r="B100" s="46" t="s">
        <v>242</v>
      </c>
      <c r="C100" s="46">
        <v>750</v>
      </c>
      <c r="D100" s="46">
        <v>0.3</v>
      </c>
    </row>
    <row r="101" spans="2:4" ht="12.75">
      <c r="B101" s="46" t="s">
        <v>242</v>
      </c>
      <c r="C101" s="46">
        <v>900</v>
      </c>
      <c r="D101" s="46">
        <v>0.35</v>
      </c>
    </row>
    <row r="102" spans="2:4" ht="12.75">
      <c r="B102" s="46" t="s">
        <v>242</v>
      </c>
      <c r="C102" s="46">
        <v>1000</v>
      </c>
      <c r="D102" s="46">
        <v>0.4</v>
      </c>
    </row>
    <row r="103" spans="2:4" ht="12.75">
      <c r="B103" s="46" t="s">
        <v>242</v>
      </c>
      <c r="C103" s="46">
        <v>1200</v>
      </c>
      <c r="D103" s="46">
        <v>0.5</v>
      </c>
    </row>
    <row r="104" spans="2:4" ht="12.75">
      <c r="B104" s="46" t="s">
        <v>243</v>
      </c>
      <c r="C104" s="46">
        <v>600</v>
      </c>
      <c r="D104" s="46">
        <v>0.15</v>
      </c>
    </row>
    <row r="105" spans="2:4" ht="12.75">
      <c r="B105" s="46" t="s">
        <v>243</v>
      </c>
      <c r="C105" s="46">
        <v>750</v>
      </c>
      <c r="D105" s="46">
        <v>0.17</v>
      </c>
    </row>
    <row r="106" spans="2:4" ht="12.75">
      <c r="B106" s="46" t="s">
        <v>243</v>
      </c>
      <c r="C106" s="46">
        <v>900</v>
      </c>
      <c r="D106" s="46">
        <v>0.19</v>
      </c>
    </row>
    <row r="107" spans="2:4" ht="12.75">
      <c r="B107" s="46" t="s">
        <v>244</v>
      </c>
      <c r="C107" s="46">
        <v>900</v>
      </c>
      <c r="D107" s="46">
        <v>0.18</v>
      </c>
    </row>
    <row r="108" spans="2:4" ht="12.75">
      <c r="B108" s="46" t="s">
        <v>245</v>
      </c>
      <c r="C108" s="46">
        <v>1200</v>
      </c>
      <c r="D108" s="46">
        <v>0.43</v>
      </c>
    </row>
    <row r="109" spans="2:4" ht="12.75">
      <c r="B109" s="46" t="s">
        <v>245</v>
      </c>
      <c r="C109" s="46">
        <v>1400</v>
      </c>
      <c r="D109" s="46">
        <v>0.5</v>
      </c>
    </row>
    <row r="110" spans="2:4" ht="12.75">
      <c r="B110" s="46" t="s">
        <v>245</v>
      </c>
      <c r="C110" s="46">
        <v>1600</v>
      </c>
      <c r="D110" s="46">
        <v>0.59</v>
      </c>
    </row>
    <row r="111" spans="2:4" ht="12.75">
      <c r="B111" s="46" t="s">
        <v>245</v>
      </c>
      <c r="C111" s="46">
        <v>1800</v>
      </c>
      <c r="D111" s="46">
        <v>0.7</v>
      </c>
    </row>
    <row r="112" spans="2:4" ht="12.75">
      <c r="B112" s="46" t="s">
        <v>245</v>
      </c>
      <c r="C112" s="46">
        <v>2000</v>
      </c>
      <c r="D112" s="46">
        <v>0.83</v>
      </c>
    </row>
    <row r="113" spans="2:4" ht="12.75">
      <c r="B113" s="46" t="s">
        <v>245</v>
      </c>
      <c r="C113" s="46">
        <v>2200</v>
      </c>
      <c r="D113" s="46">
        <v>1.03</v>
      </c>
    </row>
    <row r="114" spans="2:4" ht="12.75">
      <c r="B114" s="46" t="s">
        <v>246</v>
      </c>
      <c r="C114" s="46">
        <v>700</v>
      </c>
      <c r="D114" s="46">
        <v>0.3</v>
      </c>
    </row>
    <row r="115" spans="2:4" ht="12.75">
      <c r="B115" s="46" t="s">
        <v>246</v>
      </c>
      <c r="C115" s="46">
        <v>800</v>
      </c>
      <c r="D115" s="46">
        <v>0.33</v>
      </c>
    </row>
    <row r="116" spans="2:4" ht="12.75">
      <c r="B116" s="46" t="s">
        <v>246</v>
      </c>
      <c r="C116" s="46">
        <v>900</v>
      </c>
      <c r="D116" s="46">
        <v>0.3</v>
      </c>
    </row>
    <row r="117" spans="2:4" ht="12.75">
      <c r="B117" s="46" t="s">
        <v>246</v>
      </c>
      <c r="C117" s="46">
        <v>1000</v>
      </c>
      <c r="D117" s="46">
        <v>0.39</v>
      </c>
    </row>
    <row r="118" spans="2:4" ht="12.75">
      <c r="B118" s="46" t="s">
        <v>247</v>
      </c>
      <c r="C118" s="46">
        <v>700</v>
      </c>
      <c r="D118" s="46">
        <v>0.26</v>
      </c>
    </row>
    <row r="119" spans="2:4" ht="12.75">
      <c r="B119" s="46" t="s">
        <v>247</v>
      </c>
      <c r="C119" s="46">
        <v>800</v>
      </c>
      <c r="D119" s="46">
        <v>0.28</v>
      </c>
    </row>
    <row r="120" spans="2:4" ht="12.75">
      <c r="B120" s="46" t="s">
        <v>247</v>
      </c>
      <c r="C120" s="46">
        <v>900</v>
      </c>
      <c r="D120" s="46">
        <v>0.31</v>
      </c>
    </row>
    <row r="121" spans="2:4" ht="12.75">
      <c r="B121" s="46" t="s">
        <v>247</v>
      </c>
      <c r="C121" s="46">
        <v>1000</v>
      </c>
      <c r="D121" s="46">
        <v>0.34</v>
      </c>
    </row>
    <row r="122" spans="2:4" ht="12.75">
      <c r="B122" s="46" t="s">
        <v>248</v>
      </c>
      <c r="C122" s="46">
        <v>1000</v>
      </c>
      <c r="D122" s="46">
        <v>0.39</v>
      </c>
    </row>
    <row r="123" spans="2:4" ht="12.75">
      <c r="B123" s="46" t="s">
        <v>249</v>
      </c>
      <c r="C123" s="46">
        <v>1000</v>
      </c>
      <c r="D123" s="46">
        <v>0.43</v>
      </c>
    </row>
    <row r="124" spans="2:4" ht="12.75">
      <c r="B124" s="46" t="s">
        <v>249</v>
      </c>
      <c r="C124" s="46">
        <v>1200</v>
      </c>
      <c r="D124" s="46">
        <v>0.49</v>
      </c>
    </row>
    <row r="125" spans="2:4" ht="12.75">
      <c r="B125" s="46" t="s">
        <v>249</v>
      </c>
      <c r="C125" s="46">
        <v>1400</v>
      </c>
      <c r="D125" s="46">
        <v>0.6</v>
      </c>
    </row>
    <row r="126" spans="2:4" ht="12.75">
      <c r="B126" s="46" t="s">
        <v>249</v>
      </c>
      <c r="C126" s="46">
        <v>1600</v>
      </c>
      <c r="D126" s="46">
        <v>0.68</v>
      </c>
    </row>
    <row r="127" spans="2:4" ht="12.75">
      <c r="B127" s="46" t="s">
        <v>249</v>
      </c>
      <c r="C127" s="46">
        <v>1800</v>
      </c>
      <c r="D127" s="46">
        <v>0.85</v>
      </c>
    </row>
    <row r="128" spans="2:4" ht="12.75">
      <c r="B128" s="46" t="s">
        <v>249</v>
      </c>
      <c r="C128" s="46">
        <v>2000</v>
      </c>
      <c r="D128" s="46">
        <v>0.95</v>
      </c>
    </row>
    <row r="129" spans="2:4" ht="12.75">
      <c r="B129" s="46" t="s">
        <v>250</v>
      </c>
      <c r="C129" s="46">
        <v>400</v>
      </c>
      <c r="D129" s="46">
        <v>0.17</v>
      </c>
    </row>
    <row r="130" spans="2:4" ht="12.75">
      <c r="B130" s="46" t="s">
        <v>250</v>
      </c>
      <c r="C130" s="46">
        <v>500</v>
      </c>
      <c r="D130" s="46">
        <v>0.19</v>
      </c>
    </row>
    <row r="131" spans="2:4" ht="12.75">
      <c r="B131" s="46" t="s">
        <v>250</v>
      </c>
      <c r="C131" s="46">
        <v>600</v>
      </c>
      <c r="D131" s="46">
        <v>0.21</v>
      </c>
    </row>
    <row r="132" spans="2:4" ht="12.75">
      <c r="B132" s="46" t="s">
        <v>250</v>
      </c>
      <c r="C132" s="46">
        <v>700</v>
      </c>
      <c r="D132" s="46">
        <v>0.23</v>
      </c>
    </row>
    <row r="133" spans="2:4" ht="12.75">
      <c r="B133" s="46" t="s">
        <v>250</v>
      </c>
      <c r="C133" s="46">
        <v>800</v>
      </c>
      <c r="D133" s="46">
        <v>0.25</v>
      </c>
    </row>
    <row r="134" spans="2:4" ht="12.75">
      <c r="B134" s="46" t="s">
        <v>251</v>
      </c>
      <c r="C134" s="46">
        <v>400</v>
      </c>
      <c r="D134" s="46">
        <v>0.14</v>
      </c>
    </row>
    <row r="135" spans="2:4" ht="12.75">
      <c r="B135" s="46" t="s">
        <v>251</v>
      </c>
      <c r="C135" s="46">
        <v>500</v>
      </c>
      <c r="D135" s="46">
        <v>0.16</v>
      </c>
    </row>
    <row r="136" spans="2:4" ht="12.75">
      <c r="B136" s="46" t="s">
        <v>251</v>
      </c>
      <c r="C136" s="46">
        <v>600</v>
      </c>
      <c r="D136" s="46">
        <v>0.19</v>
      </c>
    </row>
    <row r="137" spans="2:4" ht="12.75">
      <c r="B137" s="46" t="s">
        <v>251</v>
      </c>
      <c r="C137" s="46">
        <v>700</v>
      </c>
      <c r="D137" s="46">
        <v>0.21</v>
      </c>
    </row>
    <row r="138" spans="2:4" ht="12.75">
      <c r="B138" s="46" t="s">
        <v>251</v>
      </c>
      <c r="C138" s="46">
        <v>800</v>
      </c>
      <c r="D138" s="46">
        <v>0.23</v>
      </c>
    </row>
    <row r="139" spans="2:4" ht="12.75">
      <c r="B139" s="46" t="s">
        <v>252</v>
      </c>
      <c r="C139" s="46">
        <v>500</v>
      </c>
      <c r="D139" s="46">
        <v>0.28</v>
      </c>
    </row>
    <row r="140" spans="2:4" ht="12.75">
      <c r="B140" s="46" t="s">
        <v>252</v>
      </c>
      <c r="C140" s="46">
        <v>600</v>
      </c>
      <c r="D140" s="46">
        <v>0.3</v>
      </c>
    </row>
    <row r="141" spans="2:4" ht="12.75">
      <c r="B141" s="46" t="s">
        <v>252</v>
      </c>
      <c r="C141" s="46">
        <v>700</v>
      </c>
      <c r="D141" s="46">
        <v>0.32</v>
      </c>
    </row>
    <row r="142" spans="2:4" ht="12.75">
      <c r="B142" s="46" t="s">
        <v>252</v>
      </c>
      <c r="C142" s="46">
        <v>800</v>
      </c>
      <c r="D142" s="46">
        <v>0.34</v>
      </c>
    </row>
    <row r="143" spans="2:4" ht="12.75">
      <c r="B143" s="46" t="s">
        <v>252</v>
      </c>
      <c r="C143" s="46">
        <v>900</v>
      </c>
      <c r="D143" s="46">
        <v>0.37</v>
      </c>
    </row>
    <row r="144" spans="2:4" ht="12.75">
      <c r="B144" s="46" t="s">
        <v>252</v>
      </c>
      <c r="C144" s="46">
        <v>1000</v>
      </c>
      <c r="D144" s="46">
        <v>0.4</v>
      </c>
    </row>
    <row r="145" spans="2:4" ht="12.75">
      <c r="B145" s="46" t="s">
        <v>252</v>
      </c>
      <c r="C145" s="46">
        <v>1200</v>
      </c>
      <c r="D145" s="46">
        <v>0.46</v>
      </c>
    </row>
    <row r="146" spans="2:4" ht="12.75">
      <c r="B146" s="46" t="s">
        <v>252</v>
      </c>
      <c r="C146" s="46">
        <v>1400</v>
      </c>
      <c r="D146" s="46">
        <v>0.54</v>
      </c>
    </row>
    <row r="147" spans="2:4" ht="12.75">
      <c r="B147" s="46" t="s">
        <v>252</v>
      </c>
      <c r="C147" s="46">
        <v>1600</v>
      </c>
      <c r="D147" s="46">
        <v>0.63</v>
      </c>
    </row>
    <row r="148" spans="2:4" ht="12.75">
      <c r="B148" s="46" t="s">
        <v>252</v>
      </c>
      <c r="C148" s="46">
        <v>1800</v>
      </c>
      <c r="D148" s="46">
        <v>0.75</v>
      </c>
    </row>
    <row r="149" spans="2:4" ht="12.75">
      <c r="B149" s="46" t="s">
        <v>252</v>
      </c>
      <c r="C149" s="46">
        <v>2000</v>
      </c>
      <c r="D149" s="46">
        <v>0.85</v>
      </c>
    </row>
    <row r="150" spans="2:4" ht="12.75">
      <c r="B150" s="46" t="s">
        <v>252</v>
      </c>
      <c r="C150" s="46">
        <v>2200</v>
      </c>
      <c r="D150" s="46">
        <v>1.03</v>
      </c>
    </row>
    <row r="151" spans="2:4" ht="12.75">
      <c r="B151" s="46" t="s">
        <v>253</v>
      </c>
      <c r="C151" s="46">
        <v>500</v>
      </c>
      <c r="D151" s="46">
        <v>0.25</v>
      </c>
    </row>
    <row r="152" spans="2:4" ht="12.75">
      <c r="B152" s="46" t="s">
        <v>253</v>
      </c>
      <c r="C152" s="46">
        <v>600</v>
      </c>
      <c r="D152" s="46">
        <v>0.28</v>
      </c>
    </row>
    <row r="153" spans="2:4" ht="12.75">
      <c r="B153" s="46" t="s">
        <v>253</v>
      </c>
      <c r="C153" s="46">
        <v>700</v>
      </c>
      <c r="D153" s="46">
        <v>0.3</v>
      </c>
    </row>
    <row r="154" spans="2:4" ht="12.75">
      <c r="B154" s="46" t="s">
        <v>253</v>
      </c>
      <c r="C154" s="46">
        <v>800</v>
      </c>
      <c r="D154" s="46">
        <v>0.33</v>
      </c>
    </row>
    <row r="155" spans="2:4" ht="12.75">
      <c r="B155" s="46" t="s">
        <v>253</v>
      </c>
      <c r="C155" s="46">
        <v>900</v>
      </c>
      <c r="D155" s="46">
        <v>0.37</v>
      </c>
    </row>
    <row r="156" spans="2:4" ht="12.75">
      <c r="B156" s="46" t="s">
        <v>253</v>
      </c>
      <c r="C156" s="46">
        <v>1000</v>
      </c>
      <c r="D156" s="46">
        <v>0.4</v>
      </c>
    </row>
    <row r="157" spans="2:4" ht="12.75">
      <c r="B157" s="46" t="s">
        <v>253</v>
      </c>
      <c r="C157" s="46">
        <v>1200</v>
      </c>
      <c r="D157" s="46">
        <v>0.46</v>
      </c>
    </row>
    <row r="158" spans="2:4" ht="12.75">
      <c r="B158" s="46" t="s">
        <v>254</v>
      </c>
      <c r="C158" s="46">
        <v>500</v>
      </c>
      <c r="D158" s="46">
        <v>0.22</v>
      </c>
    </row>
    <row r="159" spans="2:4" ht="12.75">
      <c r="B159" s="46" t="s">
        <v>254</v>
      </c>
      <c r="C159" s="46">
        <v>600</v>
      </c>
      <c r="D159" s="46">
        <v>0.25</v>
      </c>
    </row>
    <row r="160" spans="2:4" ht="12.75">
      <c r="B160" s="46" t="s">
        <v>254</v>
      </c>
      <c r="C160" s="46">
        <v>700</v>
      </c>
      <c r="D160" s="46">
        <v>0.26</v>
      </c>
    </row>
    <row r="161" spans="2:4" ht="12.75">
      <c r="B161" s="46" t="s">
        <v>254</v>
      </c>
      <c r="C161" s="46">
        <v>800</v>
      </c>
      <c r="D161" s="46">
        <v>0.3</v>
      </c>
    </row>
    <row r="162" spans="2:4" ht="12.75">
      <c r="B162" s="46" t="s">
        <v>255</v>
      </c>
      <c r="C162" s="46">
        <v>500</v>
      </c>
      <c r="D162" s="46">
        <v>0.25</v>
      </c>
    </row>
    <row r="163" spans="2:4" ht="12.75">
      <c r="B163" s="46" t="s">
        <v>256</v>
      </c>
      <c r="C163" s="46">
        <v>600</v>
      </c>
      <c r="D163" s="46">
        <v>0.28</v>
      </c>
    </row>
    <row r="164" spans="2:4" ht="12.75">
      <c r="B164" s="46" t="s">
        <v>256</v>
      </c>
      <c r="C164" s="46">
        <v>700</v>
      </c>
      <c r="D164" s="46">
        <v>0.3</v>
      </c>
    </row>
    <row r="165" spans="2:4" ht="12.75">
      <c r="B165" s="46" t="s">
        <v>256</v>
      </c>
      <c r="C165" s="46">
        <v>900</v>
      </c>
      <c r="D165" s="46">
        <v>0.38</v>
      </c>
    </row>
    <row r="166" spans="2:4" ht="12.75">
      <c r="B166" s="46" t="s">
        <v>256</v>
      </c>
      <c r="C166" s="46">
        <v>1000</v>
      </c>
      <c r="D166" s="46">
        <v>0.41</v>
      </c>
    </row>
    <row r="167" spans="2:4" ht="12.75">
      <c r="B167" s="46" t="s">
        <v>257</v>
      </c>
      <c r="C167" s="46">
        <v>1000</v>
      </c>
      <c r="D167" s="46">
        <v>0.15</v>
      </c>
    </row>
    <row r="168" spans="2:4" ht="12.75">
      <c r="B168" s="46" t="s">
        <v>258</v>
      </c>
      <c r="C168" s="46">
        <v>700</v>
      </c>
      <c r="D168" s="46">
        <v>0.07</v>
      </c>
    </row>
    <row r="169" spans="2:4" ht="12.75">
      <c r="B169" s="46" t="s">
        <v>259</v>
      </c>
      <c r="C169" s="46">
        <v>1500</v>
      </c>
      <c r="D169" s="46">
        <v>0.2</v>
      </c>
    </row>
    <row r="170" spans="2:4" ht="12.75">
      <c r="B170" s="46" t="s">
        <v>260</v>
      </c>
      <c r="C170" s="46">
        <v>250</v>
      </c>
      <c r="D170" s="46">
        <v>0.6</v>
      </c>
    </row>
    <row r="171" spans="2:4" ht="12.75">
      <c r="B171" s="46" t="s">
        <v>261</v>
      </c>
      <c r="C171" s="46">
        <v>200</v>
      </c>
      <c r="D171" s="46">
        <v>0.06</v>
      </c>
    </row>
    <row r="172" spans="2:4" ht="12.75">
      <c r="B172" s="46" t="s">
        <v>262</v>
      </c>
      <c r="C172" s="46">
        <v>2000</v>
      </c>
      <c r="D172" s="46">
        <v>0.17</v>
      </c>
    </row>
    <row r="173" spans="2:4" ht="12.75">
      <c r="B173" s="46" t="s">
        <v>263</v>
      </c>
      <c r="C173" s="46">
        <v>1100</v>
      </c>
      <c r="D173" s="46">
        <v>0.17</v>
      </c>
    </row>
    <row r="174" spans="2:4" ht="12.75">
      <c r="B174" s="46" t="s">
        <v>264</v>
      </c>
      <c r="C174" s="46">
        <v>460</v>
      </c>
      <c r="D174" s="46">
        <v>0.08</v>
      </c>
    </row>
    <row r="175" spans="2:4" ht="12.75">
      <c r="B175" s="46" t="s">
        <v>265</v>
      </c>
      <c r="C175" s="46">
        <v>570</v>
      </c>
      <c r="D175" s="46">
        <v>0.13</v>
      </c>
    </row>
    <row r="176" spans="2:4" ht="12.75">
      <c r="B176" s="46" t="s">
        <v>266</v>
      </c>
      <c r="C176" s="46">
        <v>15</v>
      </c>
      <c r="D176" s="46">
        <v>0.034</v>
      </c>
    </row>
    <row r="177" spans="2:4" ht="12.75">
      <c r="B177" s="46" t="s">
        <v>267</v>
      </c>
      <c r="C177" s="46">
        <v>30</v>
      </c>
      <c r="D177" s="46">
        <v>0.034</v>
      </c>
    </row>
    <row r="178" spans="2:4" ht="12.75">
      <c r="B178" s="46" t="s">
        <v>268</v>
      </c>
      <c r="C178" s="46">
        <v>200</v>
      </c>
      <c r="D178" s="46">
        <v>0.034</v>
      </c>
    </row>
    <row r="179" spans="2:4" ht="12.75">
      <c r="B179" s="46" t="s">
        <v>269</v>
      </c>
      <c r="C179" s="46">
        <v>200</v>
      </c>
      <c r="D179" s="46">
        <v>0.04</v>
      </c>
    </row>
    <row r="180" spans="2:4" ht="12.75">
      <c r="B180" s="46" t="s">
        <v>270</v>
      </c>
      <c r="C180" s="46">
        <v>150</v>
      </c>
      <c r="D180" s="46">
        <v>0.5</v>
      </c>
    </row>
    <row r="181" spans="2:4" ht="12.75">
      <c r="B181" s="46" t="s">
        <v>271</v>
      </c>
      <c r="C181" s="46">
        <v>250</v>
      </c>
      <c r="D181" s="46">
        <v>0.043</v>
      </c>
    </row>
    <row r="182" spans="2:4" ht="12.75">
      <c r="B182" s="46" t="s">
        <v>271</v>
      </c>
      <c r="C182" s="46">
        <v>300</v>
      </c>
      <c r="D182" s="46">
        <v>0.047</v>
      </c>
    </row>
    <row r="183" spans="2:4" ht="12.75">
      <c r="B183" s="46" t="s">
        <v>272</v>
      </c>
      <c r="C183" s="46">
        <v>200</v>
      </c>
      <c r="D183" s="46">
        <v>0.05</v>
      </c>
    </row>
    <row r="184" spans="2:4" ht="12.75">
      <c r="B184" s="46" t="s">
        <v>273</v>
      </c>
      <c r="C184" s="46">
        <v>1500</v>
      </c>
      <c r="D184" s="46">
        <v>0.7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5"/>
  <dimension ref="B4:C25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9.140625" style="46" customWidth="1"/>
    <col min="2" max="2" width="63.57421875" style="46" bestFit="1" customWidth="1"/>
    <col min="3" max="3" width="11.8515625" style="46" bestFit="1" customWidth="1"/>
    <col min="4" max="16384" width="9.140625" style="46" customWidth="1"/>
  </cols>
  <sheetData>
    <row r="4" ht="12.75">
      <c r="B4" s="47" t="s">
        <v>274</v>
      </c>
    </row>
    <row r="7" spans="2:3" ht="38.25">
      <c r="B7" s="49" t="s">
        <v>275</v>
      </c>
      <c r="C7" s="48" t="s">
        <v>276</v>
      </c>
    </row>
    <row r="8" ht="12.75">
      <c r="B8" s="47" t="s">
        <v>277</v>
      </c>
    </row>
    <row r="9" spans="2:3" ht="12.75">
      <c r="B9" s="46" t="s">
        <v>278</v>
      </c>
      <c r="C9" s="46">
        <v>4.5</v>
      </c>
    </row>
    <row r="10" spans="2:3" ht="12.75">
      <c r="B10" s="46" t="s">
        <v>279</v>
      </c>
      <c r="C10" s="46">
        <v>2.8</v>
      </c>
    </row>
    <row r="11" spans="2:3" ht="12.75">
      <c r="B11" s="46" t="s">
        <v>280</v>
      </c>
      <c r="C11" s="46">
        <v>2.5</v>
      </c>
    </row>
    <row r="12" spans="2:3" ht="12.75">
      <c r="B12" s="46" t="s">
        <v>281</v>
      </c>
      <c r="C12" s="46">
        <v>3</v>
      </c>
    </row>
    <row r="13" spans="2:3" ht="12.75">
      <c r="B13" s="46" t="s">
        <v>282</v>
      </c>
      <c r="C13" s="46">
        <v>2.2</v>
      </c>
    </row>
    <row r="14" spans="2:3" ht="12.75">
      <c r="B14" s="46" t="s">
        <v>283</v>
      </c>
      <c r="C14" s="46">
        <v>2.2</v>
      </c>
    </row>
    <row r="15" ht="12.75">
      <c r="B15" s="47" t="s">
        <v>284</v>
      </c>
    </row>
    <row r="16" spans="2:3" ht="12.75">
      <c r="B16" s="46" t="s">
        <v>278</v>
      </c>
      <c r="C16" s="46">
        <v>5</v>
      </c>
    </row>
    <row r="17" spans="2:3" ht="12.75">
      <c r="B17" s="46" t="s">
        <v>279</v>
      </c>
      <c r="C17" s="46">
        <v>3.4</v>
      </c>
    </row>
    <row r="18" spans="2:3" ht="12.75">
      <c r="B18" s="46" t="s">
        <v>280</v>
      </c>
      <c r="C18" s="46">
        <v>3.1</v>
      </c>
    </row>
    <row r="19" spans="2:3" ht="12.75">
      <c r="B19" s="46" t="s">
        <v>282</v>
      </c>
      <c r="C19" s="46">
        <v>3</v>
      </c>
    </row>
    <row r="20" spans="2:3" ht="12.75">
      <c r="B20" s="46" t="s">
        <v>283</v>
      </c>
      <c r="C20" s="46">
        <v>2.8</v>
      </c>
    </row>
    <row r="21" spans="2:3" ht="12.75">
      <c r="B21" s="46" t="s">
        <v>285</v>
      </c>
      <c r="C21" s="46">
        <v>5</v>
      </c>
    </row>
    <row r="22" spans="2:3" ht="12.75">
      <c r="B22" s="46" t="s">
        <v>286</v>
      </c>
      <c r="C22" s="46">
        <v>3</v>
      </c>
    </row>
    <row r="23" ht="12.75">
      <c r="B23" s="47" t="s">
        <v>287</v>
      </c>
    </row>
    <row r="24" spans="2:3" ht="12.75">
      <c r="B24" s="46" t="s">
        <v>288</v>
      </c>
      <c r="C24" s="46">
        <v>4.3</v>
      </c>
    </row>
    <row r="25" spans="2:3" ht="12.75">
      <c r="B25" s="46" t="s">
        <v>289</v>
      </c>
      <c r="C25" s="46">
        <v>2.2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6"/>
  <dimension ref="B4:C14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9.140625" style="46" customWidth="1"/>
    <col min="2" max="2" width="65.57421875" style="46" bestFit="1" customWidth="1"/>
    <col min="3" max="3" width="11.421875" style="46" bestFit="1" customWidth="1"/>
    <col min="4" max="16384" width="9.140625" style="46" customWidth="1"/>
  </cols>
  <sheetData>
    <row r="4" ht="12.75">
      <c r="B4" s="47" t="s">
        <v>290</v>
      </c>
    </row>
    <row r="8" spans="2:3" ht="38.25">
      <c r="B8" s="49" t="s">
        <v>291</v>
      </c>
      <c r="C8" s="48" t="s">
        <v>292</v>
      </c>
    </row>
    <row r="9" spans="2:3" ht="12.75">
      <c r="B9" s="46" t="s">
        <v>293</v>
      </c>
      <c r="C9" s="46">
        <v>7</v>
      </c>
    </row>
    <row r="10" spans="2:3" ht="12.75">
      <c r="B10" s="46" t="s">
        <v>294</v>
      </c>
      <c r="C10" s="46">
        <v>10</v>
      </c>
    </row>
    <row r="11" spans="2:3" ht="12.75">
      <c r="B11" s="46" t="s">
        <v>295</v>
      </c>
      <c r="C11" s="46">
        <v>7</v>
      </c>
    </row>
    <row r="12" spans="2:3" ht="12.75">
      <c r="B12" s="46" t="s">
        <v>296</v>
      </c>
      <c r="C12" s="46">
        <v>5</v>
      </c>
    </row>
    <row r="13" spans="2:3" ht="12.75">
      <c r="B13" s="46" t="s">
        <v>297</v>
      </c>
      <c r="C13" s="46">
        <v>20</v>
      </c>
    </row>
    <row r="14" spans="2:3" ht="12.75">
      <c r="B14" s="46" t="s">
        <v>298</v>
      </c>
      <c r="C14" s="50" t="s">
        <v>299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7"/>
  <dimension ref="B6:I19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9.140625" style="46" customWidth="1"/>
    <col min="2" max="2" width="38.00390625" style="46" customWidth="1"/>
    <col min="3" max="16384" width="9.140625" style="46" customWidth="1"/>
  </cols>
  <sheetData>
    <row r="6" ht="12.75">
      <c r="B6" s="47" t="s">
        <v>300</v>
      </c>
    </row>
    <row r="11" ht="25.5">
      <c r="B11" s="51" t="s">
        <v>301</v>
      </c>
    </row>
    <row r="12" spans="2:9" ht="12.75">
      <c r="B12" s="47" t="s">
        <v>302</v>
      </c>
      <c r="C12" s="362" t="s">
        <v>303</v>
      </c>
      <c r="D12" s="362"/>
      <c r="E12" s="362"/>
      <c r="F12" s="362"/>
      <c r="G12" s="362"/>
      <c r="H12" s="362"/>
      <c r="I12" s="362"/>
    </row>
    <row r="13" spans="3:9" ht="12.75">
      <c r="C13" s="46">
        <v>0.5</v>
      </c>
      <c r="D13" s="46">
        <v>1</v>
      </c>
      <c r="E13" s="46">
        <v>2</v>
      </c>
      <c r="F13" s="46">
        <v>5</v>
      </c>
      <c r="G13" s="46">
        <v>10</v>
      </c>
      <c r="H13" s="46">
        <v>15</v>
      </c>
      <c r="I13" s="46">
        <v>20</v>
      </c>
    </row>
    <row r="14" spans="2:9" ht="12.75">
      <c r="B14" s="46" t="s">
        <v>304</v>
      </c>
      <c r="C14" s="46">
        <v>0.13</v>
      </c>
      <c r="D14" s="46">
        <v>0.16</v>
      </c>
      <c r="E14" s="46">
        <v>0.19</v>
      </c>
      <c r="F14" s="46">
        <v>0.21</v>
      </c>
      <c r="G14" s="46">
        <v>0.2</v>
      </c>
      <c r="H14" s="46">
        <v>0.19</v>
      </c>
      <c r="I14" s="46">
        <v>0.19</v>
      </c>
    </row>
    <row r="15" spans="2:9" ht="12.75">
      <c r="B15" s="46" t="s">
        <v>305</v>
      </c>
      <c r="C15" s="46">
        <v>0.13</v>
      </c>
      <c r="D15" s="46">
        <v>0.16</v>
      </c>
      <c r="E15" s="46">
        <v>0.17</v>
      </c>
      <c r="F15" s="46">
        <v>0.19</v>
      </c>
      <c r="G15" s="46">
        <v>0.19</v>
      </c>
      <c r="H15" s="46">
        <v>0.19</v>
      </c>
      <c r="I15" s="46">
        <v>0.19</v>
      </c>
    </row>
    <row r="16" spans="2:9" ht="12.75">
      <c r="B16" s="46" t="s">
        <v>306</v>
      </c>
      <c r="C16" s="46">
        <v>0.13</v>
      </c>
      <c r="D16" s="46">
        <v>0.17</v>
      </c>
      <c r="E16" s="46">
        <v>0.21</v>
      </c>
      <c r="F16" s="46">
        <v>0.24</v>
      </c>
      <c r="G16" s="46">
        <v>0.24</v>
      </c>
      <c r="H16" s="46">
        <v>0.24</v>
      </c>
      <c r="I16" s="46">
        <v>0.24</v>
      </c>
    </row>
    <row r="19" ht="12.75">
      <c r="B19" s="46" t="s">
        <v>307</v>
      </c>
    </row>
  </sheetData>
  <sheetProtection/>
  <mergeCells count="1">
    <mergeCell ref="C12:I1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7:D21"/>
  <sheetViews>
    <sheetView zoomScalePageLayoutView="0" workbookViewId="0" topLeftCell="A1">
      <selection activeCell="C28" sqref="C28"/>
    </sheetView>
  </sheetViews>
  <sheetFormatPr defaultColWidth="9.140625" defaultRowHeight="12.75"/>
  <cols>
    <col min="2" max="2" width="45.57421875" style="0" customWidth="1"/>
    <col min="3" max="4" width="15.7109375" style="1" customWidth="1"/>
  </cols>
  <sheetData>
    <row r="7" spans="2:4" s="55" customFormat="1" ht="30.75" customHeight="1">
      <c r="B7" s="55" t="s">
        <v>323</v>
      </c>
      <c r="C7" s="56" t="s">
        <v>324</v>
      </c>
      <c r="D7" s="56" t="s">
        <v>325</v>
      </c>
    </row>
    <row r="8" spans="1:4" ht="12.75">
      <c r="A8">
        <v>1</v>
      </c>
      <c r="B8" t="s">
        <v>329</v>
      </c>
      <c r="C8" s="1">
        <v>70</v>
      </c>
      <c r="D8" s="1">
        <v>40</v>
      </c>
    </row>
    <row r="9" spans="1:4" ht="12.75">
      <c r="A9">
        <v>2</v>
      </c>
      <c r="B9" t="s">
        <v>330</v>
      </c>
      <c r="C9" s="1">
        <v>70</v>
      </c>
      <c r="D9" s="1">
        <v>40</v>
      </c>
    </row>
    <row r="10" spans="1:4" ht="12.75">
      <c r="A10">
        <v>3</v>
      </c>
      <c r="B10" t="s">
        <v>326</v>
      </c>
      <c r="C10" s="1">
        <v>70</v>
      </c>
      <c r="D10" s="1">
        <v>60</v>
      </c>
    </row>
    <row r="11" spans="1:4" ht="12.75">
      <c r="A11">
        <v>4</v>
      </c>
      <c r="B11" t="s">
        <v>327</v>
      </c>
      <c r="C11" s="1">
        <v>70</v>
      </c>
      <c r="D11" s="1">
        <v>60</v>
      </c>
    </row>
    <row r="12" spans="1:4" ht="12.75">
      <c r="A12">
        <v>5</v>
      </c>
      <c r="B12" t="s">
        <v>328</v>
      </c>
      <c r="C12" s="1">
        <v>70</v>
      </c>
      <c r="D12" s="1">
        <v>60</v>
      </c>
    </row>
    <row r="13" spans="1:4" ht="12.75">
      <c r="A13">
        <v>6</v>
      </c>
      <c r="B13" t="s">
        <v>331</v>
      </c>
      <c r="C13" s="1">
        <v>70</v>
      </c>
      <c r="D13" s="1">
        <v>60</v>
      </c>
    </row>
    <row r="14" spans="1:4" ht="12.75">
      <c r="A14">
        <v>7</v>
      </c>
      <c r="B14" t="s">
        <v>332</v>
      </c>
      <c r="C14" s="1">
        <v>75</v>
      </c>
      <c r="D14" s="1">
        <v>70</v>
      </c>
    </row>
    <row r="15" spans="1:4" ht="12.75">
      <c r="A15">
        <v>8</v>
      </c>
      <c r="B15" t="s">
        <v>333</v>
      </c>
      <c r="C15" s="1">
        <v>80</v>
      </c>
      <c r="D15" s="1">
        <v>80</v>
      </c>
    </row>
    <row r="16" spans="1:4" ht="12.75">
      <c r="A16">
        <v>9</v>
      </c>
      <c r="B16" t="s">
        <v>334</v>
      </c>
      <c r="C16" s="1">
        <v>95</v>
      </c>
      <c r="D16" s="1">
        <v>150</v>
      </c>
    </row>
    <row r="17" spans="1:4" ht="12.75">
      <c r="A17">
        <v>10</v>
      </c>
      <c r="B17" t="s">
        <v>335</v>
      </c>
      <c r="C17" s="1">
        <v>95</v>
      </c>
      <c r="D17" s="1">
        <v>150</v>
      </c>
    </row>
    <row r="18" spans="1:4" ht="12.75">
      <c r="A18">
        <v>11</v>
      </c>
      <c r="B18" t="s">
        <v>336</v>
      </c>
      <c r="C18" s="1">
        <v>150</v>
      </c>
      <c r="D18" s="1">
        <v>275</v>
      </c>
    </row>
    <row r="19" spans="1:4" ht="12.75">
      <c r="A19">
        <v>12</v>
      </c>
      <c r="B19" t="s">
        <v>337</v>
      </c>
      <c r="C19" s="1">
        <v>55</v>
      </c>
      <c r="D19" s="1">
        <v>130</v>
      </c>
    </row>
    <row r="20" spans="1:4" ht="12.75">
      <c r="A20">
        <v>13</v>
      </c>
      <c r="B20" t="s">
        <v>338</v>
      </c>
      <c r="C20" s="1">
        <v>75</v>
      </c>
      <c r="D20" s="1">
        <v>175</v>
      </c>
    </row>
    <row r="21" spans="1:4" ht="12.75">
      <c r="A21">
        <v>14</v>
      </c>
      <c r="B21" t="s">
        <v>339</v>
      </c>
      <c r="C21" s="1">
        <v>115</v>
      </c>
      <c r="D21" s="1">
        <v>245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</cp:lastModifiedBy>
  <cp:lastPrinted>2009-11-04T09:29:23Z</cp:lastPrinted>
  <dcterms:created xsi:type="dcterms:W3CDTF">2001-06-01T11:31:51Z</dcterms:created>
  <dcterms:modified xsi:type="dcterms:W3CDTF">2019-01-14T07:45:37Z</dcterms:modified>
  <cp:category/>
  <cp:version/>
  <cp:contentType/>
  <cp:contentStatus/>
</cp:coreProperties>
</file>