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410" windowWidth="14940" windowHeight="7215" tabRatio="712" activeTab="0"/>
  </bookViews>
  <sheets>
    <sheet name="hesap21" sheetId="1" r:id="rId1"/>
    <sheet name="eszamfak" sheetId="2" r:id="rId2"/>
    <sheet name="hesap300" sheetId="3" r:id="rId3"/>
    <sheet name="hızbasınçtablosu" sheetId="4" r:id="rId4"/>
    <sheet name="tahminiborucaplari" sheetId="5" r:id="rId5"/>
    <sheet name="boruçapı" sheetId="6" r:id="rId6"/>
    <sheet name="kazan" sheetId="7" r:id="rId7"/>
    <sheet name="cihaz" sheetId="8" r:id="rId8"/>
    <sheet name="Malzeme" sheetId="9" r:id="rId9"/>
  </sheets>
  <definedNames>
    <definedName name="BX">#REF!</definedName>
    <definedName name="din15">'hızbasınçtablosu'!$B$11:$D$17</definedName>
    <definedName name="din20">'hızbasınçtablosu'!$E$12:$G$24</definedName>
    <definedName name="din25">'hızbasınçtablosu'!$H$14:$J$34</definedName>
    <definedName name="din32">'hızbasınçtablosu'!$K$17:$M$51</definedName>
    <definedName name="din40">'hızbasınçtablosu'!$N$19:$P$67</definedName>
    <definedName name="din50">'hızbasınçtablosu'!$Q$25:$S$71</definedName>
    <definedName name="din65">'hızbasınçtablosu'!$T$36:$V$71</definedName>
    <definedName name="din80">'hızbasınçtablosu'!$W$46:$Y$71</definedName>
    <definedName name="hesaptablosu">'hesap21'!$B$8:$T$57</definedName>
    <definedName name="_xlnm.Print_Area" localSheetId="2">'hesap300'!$A$1:$H$22</definedName>
  </definedNames>
  <calcPr fullCalcOnLoad="1"/>
</workbook>
</file>

<file path=xl/sharedStrings.xml><?xml version="1.0" encoding="utf-8"?>
<sst xmlns="http://schemas.openxmlformats.org/spreadsheetml/2006/main" count="501" uniqueCount="269">
  <si>
    <t>DN15</t>
  </si>
  <si>
    <t>DN20</t>
  </si>
  <si>
    <t>DN32</t>
  </si>
  <si>
    <t>DN50</t>
  </si>
  <si>
    <t>DN65</t>
  </si>
  <si>
    <t>DN80</t>
  </si>
  <si>
    <t>R</t>
  </si>
  <si>
    <t>DN 40</t>
  </si>
  <si>
    <t>DN 25</t>
  </si>
  <si>
    <t>v</t>
  </si>
  <si>
    <r>
      <t xml:space="preserve">m
</t>
    </r>
    <r>
      <rPr>
        <sz val="10"/>
        <rFont val="Arial"/>
        <family val="2"/>
      </rPr>
      <t>s</t>
    </r>
  </si>
  <si>
    <r>
      <t xml:space="preserve">mbar
</t>
    </r>
    <r>
      <rPr>
        <sz val="10"/>
        <rFont val="Arial"/>
        <family val="2"/>
      </rPr>
      <t>m</t>
    </r>
  </si>
  <si>
    <t>Tablo 6: Max debi ve anma çapına bağlı olarak akış hızı(v) ve özgül sürtünme basınç kaybı( R ) (2. gaz ailesi ve DIN 2440'a uygun çelik boru için)</t>
  </si>
  <si>
    <t>çap</t>
  </si>
  <si>
    <t>y = 0.2x</t>
  </si>
  <si>
    <t>y = 1.4x</t>
  </si>
  <si>
    <t>y = 0.0238x2 + 0.0303x - 0.0312</t>
  </si>
  <si>
    <t>y=0.275x</t>
  </si>
  <si>
    <t>y=0.125x</t>
  </si>
  <si>
    <t>y=.07407x</t>
  </si>
  <si>
    <t>y=0.75x</t>
  </si>
  <si>
    <t>y=0.05405x</t>
  </si>
  <si>
    <t>y=0.475x</t>
  </si>
  <si>
    <t>Nominal Çap
(mm)</t>
  </si>
  <si>
    <t>Dış Çap
(mm)</t>
  </si>
  <si>
    <t>Cidar Kalınlığı
(mm)</t>
  </si>
  <si>
    <t>İç Çap
(mm)</t>
  </si>
  <si>
    <t>İç Çap
(m)</t>
  </si>
  <si>
    <t>İç Kesit Alanı
m^2</t>
  </si>
  <si>
    <t>DN</t>
  </si>
  <si>
    <t>TB</t>
  </si>
  <si>
    <t>Vana</t>
  </si>
  <si>
    <t>Q</t>
  </si>
  <si>
    <r>
      <t xml:space="preserve">Vs
</t>
    </r>
    <r>
      <rPr>
        <b/>
        <u val="single"/>
        <vertAlign val="superscript"/>
        <sz val="14"/>
        <rFont val="Arial"/>
        <family val="2"/>
      </rPr>
      <t>m^3</t>
    </r>
    <r>
      <rPr>
        <b/>
        <vertAlign val="superscript"/>
        <sz val="14"/>
        <rFont val="Arial"/>
        <family val="2"/>
      </rPr>
      <t xml:space="preserve">
h</t>
    </r>
  </si>
  <si>
    <t>m^3
h</t>
  </si>
  <si>
    <t>TAHİNİ BORU ÇAPLARI</t>
  </si>
  <si>
    <t>T</t>
  </si>
  <si>
    <t>KONUT SAYISI</t>
  </si>
  <si>
    <t>OCAK</t>
  </si>
  <si>
    <t>OCAK+ŞOFBEN</t>
  </si>
  <si>
    <t>OCAK+KOMBİ</t>
  </si>
  <si>
    <t>OCAK+ŞOFBEN+3SOBA</t>
  </si>
  <si>
    <t>DN25</t>
  </si>
  <si>
    <t>DN40</t>
  </si>
  <si>
    <t>T Ayrılma
 (karşıt)</t>
  </si>
  <si>
    <t>DİRSEK
 (90)</t>
  </si>
  <si>
    <t>TÜKETİM HATTI BORUSU TS 301'E GÖRE ΔP max</t>
  </si>
  <si>
    <t>DOĞALGAZ CİHAZLARI İÇİN EŞ ZAMAN FAKTÖR VE TÜKETİM DEĞERLERİ</t>
  </si>
  <si>
    <t>f</t>
  </si>
  <si>
    <t>ocak</t>
  </si>
  <si>
    <t>ocak+şofben</t>
  </si>
  <si>
    <t>ocak+kombi</t>
  </si>
  <si>
    <r>
      <t>P</t>
    </r>
    <r>
      <rPr>
        <sz val="6"/>
        <rFont val="Arial"/>
        <family val="2"/>
      </rPr>
      <t>R/L</t>
    </r>
  </si>
  <si>
    <r>
      <t>P</t>
    </r>
    <r>
      <rPr>
        <sz val="6"/>
        <rFont val="Arial"/>
        <family val="2"/>
      </rPr>
      <t>2</t>
    </r>
  </si>
  <si>
    <r>
      <t>V</t>
    </r>
    <r>
      <rPr>
        <sz val="6"/>
        <rFont val="Arial"/>
        <family val="2"/>
      </rPr>
      <t>hesap</t>
    </r>
  </si>
  <si>
    <r>
      <t>V</t>
    </r>
    <r>
      <rPr>
        <sz val="6"/>
        <rFont val="Arial"/>
        <family val="2"/>
      </rPr>
      <t>tablo</t>
    </r>
  </si>
  <si>
    <t>1/2"</t>
  </si>
  <si>
    <t>3/4"</t>
  </si>
  <si>
    <t>1"</t>
  </si>
  <si>
    <t>1 1/4"</t>
  </si>
  <si>
    <t>1 1/2"</t>
  </si>
  <si>
    <t>2"</t>
  </si>
  <si>
    <t>2 1/2"</t>
  </si>
  <si>
    <t>3"</t>
  </si>
  <si>
    <t>4"</t>
  </si>
  <si>
    <t>5"</t>
  </si>
  <si>
    <t>6"</t>
  </si>
  <si>
    <t>8"</t>
  </si>
  <si>
    <t>Dış Çap
(inç)</t>
  </si>
  <si>
    <t>Hat Adı :</t>
  </si>
  <si>
    <r>
      <t>ΔP</t>
    </r>
    <r>
      <rPr>
        <b/>
        <vertAlign val="subscript"/>
        <sz val="10"/>
        <rFont val="Arial"/>
        <family val="2"/>
      </rPr>
      <t>TS</t>
    </r>
  </si>
  <si>
    <r>
      <t>R</t>
    </r>
    <r>
      <rPr>
        <sz val="6"/>
        <rFont val="Arial"/>
        <family val="2"/>
      </rPr>
      <t>tablo</t>
    </r>
  </si>
  <si>
    <t>KAZAN HESABI</t>
  </si>
  <si>
    <t>KAZAN VERİMİ</t>
  </si>
  <si>
    <t>Ölü Hacim Hesabı:</t>
  </si>
  <si>
    <t>Giriş Basıncı</t>
  </si>
  <si>
    <t>Tüketim</t>
  </si>
  <si>
    <t>Sayaç Tipi</t>
  </si>
  <si>
    <t>G6</t>
  </si>
  <si>
    <t xml:space="preserve">Boru Çapı (D) </t>
  </si>
  <si>
    <t>D (iç Çap)</t>
  </si>
  <si>
    <t xml:space="preserve">Boru Boyu (m) </t>
  </si>
  <si>
    <t>Sayaç Hacmi (dm3)</t>
  </si>
  <si>
    <t>Kazan Tüketimi</t>
  </si>
  <si>
    <t>Toplam Hacim</t>
  </si>
  <si>
    <t>Minimum Hacim</t>
  </si>
  <si>
    <t>P abs.</t>
  </si>
  <si>
    <t>G</t>
  </si>
  <si>
    <t>Hat ismi</t>
  </si>
  <si>
    <t>Uzunluk</t>
  </si>
  <si>
    <t>Debi</t>
  </si>
  <si>
    <t xml:space="preserve">Nominal </t>
  </si>
  <si>
    <t>Çıkış Basıncı</t>
  </si>
  <si>
    <t>Basınç Farkı</t>
  </si>
  <si>
    <t>Hız</t>
  </si>
  <si>
    <t>Mutlak B</t>
  </si>
  <si>
    <t>Viskozite</t>
  </si>
  <si>
    <t>A</t>
  </si>
  <si>
    <t>B</t>
  </si>
  <si>
    <t>C</t>
  </si>
  <si>
    <t>Nominal</t>
  </si>
  <si>
    <t>Anma</t>
  </si>
  <si>
    <t>İç</t>
  </si>
  <si>
    <t xml:space="preserve">Et </t>
  </si>
  <si>
    <t>Çap</t>
  </si>
  <si>
    <t>Çapı</t>
  </si>
  <si>
    <t>Kalınlığı</t>
  </si>
  <si>
    <t>Cihaz</t>
  </si>
  <si>
    <t>Verim</t>
  </si>
  <si>
    <t>Kapasite</t>
  </si>
  <si>
    <t>Tipi</t>
  </si>
  <si>
    <t>%</t>
  </si>
  <si>
    <t>Kcal/h</t>
  </si>
  <si>
    <t>m3/h</t>
  </si>
  <si>
    <t>Fırın</t>
  </si>
  <si>
    <t>Şofben</t>
  </si>
  <si>
    <t>Soba</t>
  </si>
  <si>
    <t>Kombi</t>
  </si>
  <si>
    <t>Kazan</t>
  </si>
  <si>
    <t>Dağıtım</t>
  </si>
  <si>
    <t>Kolon</t>
  </si>
  <si>
    <t>Sorti</t>
  </si>
  <si>
    <t>Sayaç Hacmi</t>
  </si>
  <si>
    <t>Max. Debi (21 mbar)</t>
  </si>
  <si>
    <t>Maks. Debi (300)</t>
  </si>
  <si>
    <t>G4</t>
  </si>
  <si>
    <t>G10</t>
  </si>
  <si>
    <t>G16</t>
  </si>
  <si>
    <t>G25</t>
  </si>
  <si>
    <t>G40</t>
  </si>
  <si>
    <t>G65</t>
  </si>
  <si>
    <t>oc.+kal.+şof</t>
  </si>
  <si>
    <t>KAZAN KAPASİTESİ
( Kcal / Saat )</t>
  </si>
  <si>
    <t>KAZAN KAPASİTESİ
( KW )</t>
  </si>
  <si>
    <t>YAKIT SARFİYATI
( m³ / saat )</t>
  </si>
  <si>
    <t>BRÜLÖR KAPASİTESİ
( Kcal / Saat )</t>
  </si>
  <si>
    <t>ALT HAVALANDIRMA
( cm² )</t>
  </si>
  <si>
    <t>ÜST HAVALANDIRMA
( cm² )</t>
  </si>
  <si>
    <t>BACA YÜKSEKLİĞİ
( m )</t>
  </si>
  <si>
    <t>BACA KESİT ALANI
( cm² )</t>
  </si>
  <si>
    <t>Baca Çapı
( cm )</t>
  </si>
  <si>
    <t>BRÜLÖR KAPASİTESİ
( KW )</t>
  </si>
  <si>
    <t>Uygundur.</t>
  </si>
  <si>
    <t>&lt;  0.8</t>
  </si>
  <si>
    <t>Daire Kritik Hat :</t>
  </si>
  <si>
    <t>Σξ</t>
  </si>
  <si>
    <t>4*6</t>
  </si>
  <si>
    <t>7+9+11</t>
  </si>
  <si>
    <r>
      <t>ΔP</t>
    </r>
    <r>
      <rPr>
        <b/>
        <sz val="6"/>
        <rFont val="Arial"/>
        <family val="2"/>
      </rPr>
      <t>Σ</t>
    </r>
    <r>
      <rPr>
        <sz val="10"/>
        <rFont val="Arial"/>
        <family val="2"/>
      </rPr>
      <t xml:space="preserve">
mbar</t>
    </r>
  </si>
  <si>
    <r>
      <t>ΔP</t>
    </r>
    <r>
      <rPr>
        <b/>
        <sz val="6"/>
        <rFont val="Arial"/>
        <family val="2"/>
      </rPr>
      <t>H</t>
    </r>
    <r>
      <rPr>
        <sz val="10"/>
        <rFont val="Arial"/>
        <family val="2"/>
      </rPr>
      <t xml:space="preserve">
mbar</t>
    </r>
  </si>
  <si>
    <r>
      <t>Δh</t>
    </r>
    <r>
      <rPr>
        <sz val="10"/>
        <rFont val="Arial"/>
        <family val="2"/>
      </rPr>
      <t xml:space="preserve">
m</t>
    </r>
  </si>
  <si>
    <r>
      <t>ΔPz</t>
    </r>
    <r>
      <rPr>
        <sz val="10"/>
        <rFont val="Arial"/>
        <family val="2"/>
      </rPr>
      <t xml:space="preserve">
mbar</t>
    </r>
  </si>
  <si>
    <r>
      <t>ΔP</t>
    </r>
    <r>
      <rPr>
        <b/>
        <sz val="6"/>
        <rFont val="Arial"/>
        <family val="2"/>
      </rPr>
      <t>R</t>
    </r>
    <r>
      <rPr>
        <sz val="10"/>
        <rFont val="Arial"/>
        <family val="2"/>
      </rPr>
      <t xml:space="preserve">
mbar</t>
    </r>
  </si>
  <si>
    <r>
      <t>P</t>
    </r>
    <r>
      <rPr>
        <b/>
        <sz val="6"/>
        <rFont val="Arial"/>
        <family val="2"/>
      </rPr>
      <t>R</t>
    </r>
    <r>
      <rPr>
        <b/>
        <sz val="10"/>
        <rFont val="Arial"/>
        <family val="2"/>
      </rPr>
      <t>/L</t>
    </r>
    <r>
      <rPr>
        <sz val="10"/>
        <rFont val="Arial"/>
        <family val="2"/>
      </rPr>
      <t xml:space="preserve">
mbar/m</t>
    </r>
  </si>
  <si>
    <r>
      <t>L</t>
    </r>
    <r>
      <rPr>
        <sz val="10"/>
        <rFont val="Arial"/>
        <family val="2"/>
      </rPr>
      <t xml:space="preserve">
m</t>
    </r>
  </si>
  <si>
    <r>
      <t>DN</t>
    </r>
    <r>
      <rPr>
        <sz val="10"/>
        <rFont val="Arial"/>
        <family val="2"/>
      </rPr>
      <t xml:space="preserve">
mm</t>
    </r>
  </si>
  <si>
    <r>
      <t>Q</t>
    </r>
    <r>
      <rPr>
        <sz val="10"/>
        <rFont val="Arial"/>
        <family val="2"/>
      </rPr>
      <t xml:space="preserve">
m^3/h</t>
    </r>
  </si>
  <si>
    <r>
      <t>V</t>
    </r>
    <r>
      <rPr>
        <sz val="10"/>
        <rFont val="Arial"/>
        <family val="2"/>
      </rPr>
      <t xml:space="preserve">
m/s</t>
    </r>
  </si>
  <si>
    <t>Q =</t>
  </si>
  <si>
    <t>D =</t>
  </si>
  <si>
    <t>W =</t>
  </si>
  <si>
    <r>
      <t>P1²-P2</t>
    </r>
    <r>
      <rPr>
        <sz val="10"/>
        <rFont val="Arial"/>
        <family val="2"/>
      </rPr>
      <t>²</t>
    </r>
  </si>
  <si>
    <t>300 mbar HESABI</t>
  </si>
  <si>
    <t>Giriş Basıncı (Mutlak)......bar  :</t>
  </si>
  <si>
    <t>Çıkış Basıncı (mutlak)....Bar   :</t>
  </si>
  <si>
    <t>L =</t>
  </si>
  <si>
    <t>Boru çapı.......................mm    :</t>
  </si>
  <si>
    <t>W=</t>
  </si>
  <si>
    <t>Gaz hızı........................m/s   :</t>
  </si>
  <si>
    <t>Bar</t>
  </si>
  <si>
    <t>m/sn&lt; 15 m/sn</t>
  </si>
  <si>
    <r>
      <t>P</t>
    </r>
    <r>
      <rPr>
        <vertAlign val="subscript"/>
        <sz val="10"/>
        <rFont val="Times New Roman Tur"/>
        <family val="1"/>
      </rPr>
      <t>1</t>
    </r>
    <r>
      <rPr>
        <sz val="10"/>
        <rFont val="Times New Roman Tur"/>
        <family val="1"/>
      </rPr>
      <t>=</t>
    </r>
  </si>
  <si>
    <r>
      <t>P</t>
    </r>
    <r>
      <rPr>
        <vertAlign val="subscript"/>
        <sz val="10"/>
        <rFont val="Times New Roman Tur"/>
        <family val="1"/>
      </rPr>
      <t>2</t>
    </r>
    <r>
      <rPr>
        <sz val="10"/>
        <rFont val="Times New Roman Tur"/>
        <family val="1"/>
      </rPr>
      <t>=</t>
    </r>
  </si>
  <si>
    <r>
      <t>Debi..............................m</t>
    </r>
    <r>
      <rPr>
        <vertAlign val="superscript"/>
        <sz val="10"/>
        <rFont val="Times New Roman Tur"/>
        <family val="1"/>
      </rPr>
      <t>3</t>
    </r>
    <r>
      <rPr>
        <sz val="10"/>
        <rFont val="Times New Roman Tur"/>
        <family val="1"/>
      </rPr>
      <t>/h    :</t>
    </r>
  </si>
  <si>
    <r>
      <t>P</t>
    </r>
    <r>
      <rPr>
        <vertAlign val="subscript"/>
        <sz val="10"/>
        <rFont val="Times New Roman Tur"/>
        <family val="1"/>
      </rPr>
      <t>1</t>
    </r>
    <r>
      <rPr>
        <b/>
        <vertAlign val="superscript"/>
        <sz val="10"/>
        <rFont val="Times New Roman Tur"/>
        <family val="1"/>
      </rPr>
      <t>2</t>
    </r>
    <r>
      <rPr>
        <b/>
        <sz val="10"/>
        <rFont val="Times New Roman Tur"/>
        <family val="1"/>
      </rPr>
      <t>-P</t>
    </r>
    <r>
      <rPr>
        <vertAlign val="subscript"/>
        <sz val="10"/>
        <rFont val="Times New Roman Tur"/>
        <family val="1"/>
      </rPr>
      <t>2</t>
    </r>
    <r>
      <rPr>
        <b/>
        <vertAlign val="superscript"/>
        <sz val="10"/>
        <rFont val="Times New Roman Tur"/>
        <family val="1"/>
      </rPr>
      <t>2</t>
    </r>
    <r>
      <rPr>
        <b/>
        <sz val="10"/>
        <rFont val="Times New Roman Tur"/>
        <family val="1"/>
      </rPr>
      <t>=</t>
    </r>
  </si>
  <si>
    <r>
      <t>353.667 xQ / (D</t>
    </r>
    <r>
      <rPr>
        <b/>
        <vertAlign val="superscript"/>
        <sz val="10"/>
        <rFont val="Times New Roman Tur"/>
        <family val="1"/>
      </rPr>
      <t>2</t>
    </r>
    <r>
      <rPr>
        <b/>
        <sz val="10"/>
        <rFont val="Times New Roman Tur"/>
        <family val="1"/>
      </rPr>
      <t>xP</t>
    </r>
    <r>
      <rPr>
        <b/>
        <vertAlign val="subscript"/>
        <sz val="10"/>
        <rFont val="Times New Roman Tur"/>
        <family val="1"/>
      </rPr>
      <t>2</t>
    </r>
    <r>
      <rPr>
        <b/>
        <sz val="10"/>
        <rFont val="Times New Roman Tur"/>
        <family val="1"/>
      </rPr>
      <t>)</t>
    </r>
  </si>
  <si>
    <r>
      <t>P</t>
    </r>
    <r>
      <rPr>
        <b/>
        <vertAlign val="subscript"/>
        <sz val="10"/>
        <rFont val="Times New Roman Tur"/>
        <family val="1"/>
      </rPr>
      <t xml:space="preserve">2 </t>
    </r>
    <r>
      <rPr>
        <b/>
        <sz val="10"/>
        <rFont val="Times New Roman Tur"/>
        <family val="1"/>
      </rPr>
      <t>=</t>
    </r>
  </si>
  <si>
    <t>Boru uzunluğu.................m   :</t>
  </si>
  <si>
    <r>
      <t xml:space="preserve">  29.160 x L xQ</t>
    </r>
    <r>
      <rPr>
        <b/>
        <vertAlign val="superscript"/>
        <sz val="10"/>
        <rFont val="Times New Roman Tur"/>
        <family val="1"/>
      </rPr>
      <t>1.82</t>
    </r>
    <r>
      <rPr>
        <b/>
        <sz val="10"/>
        <rFont val="Times New Roman Tur"/>
        <family val="1"/>
      </rPr>
      <t xml:space="preserve"> / D</t>
    </r>
    <r>
      <rPr>
        <b/>
        <vertAlign val="superscript"/>
        <sz val="10"/>
        <rFont val="Times New Roman Tur"/>
        <family val="1"/>
      </rPr>
      <t xml:space="preserve">4.82 </t>
    </r>
  </si>
  <si>
    <t>L
[m]</t>
  </si>
  <si>
    <t>Q
[m3/h]</t>
  </si>
  <si>
    <t>çap
[mm]</t>
  </si>
  <si>
    <t>V
[m/s]</t>
  </si>
  <si>
    <r>
      <t>P</t>
    </r>
    <r>
      <rPr>
        <vertAlign val="subscript"/>
        <sz val="10"/>
        <rFont val="Arial Tur"/>
        <family val="0"/>
      </rPr>
      <t>1</t>
    </r>
    <r>
      <rPr>
        <sz val="10"/>
        <rFont val="Arial Tur"/>
        <family val="0"/>
      </rPr>
      <t>-P</t>
    </r>
    <r>
      <rPr>
        <vertAlign val="subscript"/>
        <sz val="10"/>
        <rFont val="Arial Tur"/>
        <family val="0"/>
      </rPr>
      <t xml:space="preserve">2
</t>
    </r>
    <r>
      <rPr>
        <sz val="10"/>
        <rFont val="Arial Tur"/>
        <family val="0"/>
      </rPr>
      <t>[mbar]</t>
    </r>
  </si>
  <si>
    <r>
      <t>P</t>
    </r>
    <r>
      <rPr>
        <vertAlign val="subscript"/>
        <sz val="10"/>
        <rFont val="Arial Tur"/>
        <family val="0"/>
      </rPr>
      <t xml:space="preserve">2
</t>
    </r>
    <r>
      <rPr>
        <sz val="10"/>
        <rFont val="Arial Tur"/>
        <family val="0"/>
      </rPr>
      <t>[bar]</t>
    </r>
  </si>
  <si>
    <r>
      <t>P</t>
    </r>
    <r>
      <rPr>
        <vertAlign val="subscript"/>
        <sz val="10"/>
        <rFont val="Arial Tur"/>
        <family val="0"/>
      </rPr>
      <t xml:space="preserve">1
</t>
    </r>
    <r>
      <rPr>
        <sz val="10"/>
        <rFont val="Arial Tur"/>
        <family val="0"/>
      </rPr>
      <t>[bar]</t>
    </r>
  </si>
  <si>
    <t>REDÜKSİY</t>
  </si>
  <si>
    <t>Garanti edilen değerler</t>
  </si>
  <si>
    <t>Fiili değerler</t>
  </si>
  <si>
    <t>Min. % 85</t>
  </si>
  <si>
    <t>% 98,68</t>
  </si>
  <si>
    <t>Max. %7</t>
  </si>
  <si>
    <t>% 0,211</t>
  </si>
  <si>
    <t>Max. %3</t>
  </si>
  <si>
    <t>% 0,043</t>
  </si>
  <si>
    <t>Max%2</t>
  </si>
  <si>
    <t>% 0,017</t>
  </si>
  <si>
    <t>Mac. %1</t>
  </si>
  <si>
    <t>% 0,033</t>
  </si>
  <si>
    <t>Karbon dioksit (COJ</t>
  </si>
  <si>
    <t>Max. % 3</t>
  </si>
  <si>
    <t>% 0,035</t>
  </si>
  <si>
    <t>Oksijen (OJ</t>
  </si>
  <si>
    <t>Max. %0,02</t>
  </si>
  <si>
    <t>-----</t>
  </si>
  <si>
    <t>Azot (N2)</t>
  </si>
  <si>
    <t>Max. % 5</t>
  </si>
  <si>
    <t>% 0,829</t>
  </si>
  <si>
    <t>Hidrojen sülfür (H^)</t>
  </si>
  <si>
    <t>Toplam kükürt (S)</t>
  </si>
  <si>
    <t>Maksimum</t>
  </si>
  <si>
    <t>Ortalama</t>
  </si>
  <si>
    <t>Minimum</t>
  </si>
  <si>
    <r>
      <t>Metan (CH</t>
    </r>
    <r>
      <rPr>
        <vertAlign val="subscript"/>
        <sz val="10"/>
        <color indexed="8"/>
        <rFont val="Tahoma"/>
        <family val="2"/>
      </rPr>
      <t>4</t>
    </r>
    <r>
      <rPr>
        <sz val="10"/>
        <color indexed="8"/>
        <rFont val="Tahoma"/>
        <family val="2"/>
      </rPr>
      <t>)</t>
    </r>
  </si>
  <si>
    <r>
      <t>Etan (C</t>
    </r>
    <r>
      <rPr>
        <vertAlign val="sub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>H6)</t>
    </r>
  </si>
  <si>
    <r>
      <t>Propan (C</t>
    </r>
    <r>
      <rPr>
        <vertAlign val="subscript"/>
        <sz val="10"/>
        <color indexed="8"/>
        <rFont val="Tahoma"/>
        <family val="2"/>
      </rPr>
      <t>3</t>
    </r>
    <r>
      <rPr>
        <sz val="10"/>
        <color indexed="8"/>
        <rFont val="Tahoma"/>
        <family val="2"/>
      </rPr>
      <t>Hg)</t>
    </r>
  </si>
  <si>
    <r>
      <t>Bütan (C</t>
    </r>
    <r>
      <rPr>
        <vertAlign val="subscript"/>
        <sz val="10"/>
        <color indexed="8"/>
        <rFont val="Tahoma"/>
        <family val="2"/>
      </rPr>
      <t>4</t>
    </r>
    <r>
      <rPr>
        <sz val="10"/>
        <color indexed="8"/>
        <rFont val="Tahoma"/>
        <family val="2"/>
      </rPr>
      <t>H,</t>
    </r>
    <r>
      <rPr>
        <vertAlign val="subscript"/>
        <sz val="10"/>
        <color indexed="8"/>
        <rFont val="Tahoma"/>
        <family val="2"/>
      </rPr>
      <t>0</t>
    </r>
    <r>
      <rPr>
        <sz val="10"/>
        <color indexed="8"/>
        <rFont val="Tahoma"/>
        <family val="2"/>
      </rPr>
      <t>)</t>
    </r>
  </si>
  <si>
    <r>
      <t>Diğer hidrokarbonlar (C</t>
    </r>
    <r>
      <rPr>
        <vertAlign val="subscript"/>
        <sz val="10"/>
        <color indexed="8"/>
        <rFont val="Tahoma"/>
        <family val="2"/>
      </rPr>
      <t>m</t>
    </r>
    <r>
      <rPr>
        <sz val="10"/>
        <color indexed="8"/>
        <rFont val="Tahoma"/>
        <family val="2"/>
      </rPr>
      <t>HJ</t>
    </r>
  </si>
  <si>
    <r>
      <t>Max. 5,1 mg/m</t>
    </r>
    <r>
      <rPr>
        <vertAlign val="superscript"/>
        <sz val="10"/>
        <color indexed="8"/>
        <rFont val="Tahoma"/>
        <family val="2"/>
      </rPr>
      <t>J</t>
    </r>
  </si>
  <si>
    <r>
      <t>36,57 MJ/m</t>
    </r>
    <r>
      <rPr>
        <vertAlign val="superscript"/>
        <sz val="10"/>
        <color indexed="8"/>
        <rFont val="Tahoma"/>
        <family val="2"/>
      </rPr>
      <t>3</t>
    </r>
  </si>
  <si>
    <r>
      <t>Ortalama alt ısıl değer H</t>
    </r>
    <r>
      <rPr>
        <vertAlign val="subscript"/>
        <sz val="10"/>
        <color indexed="8"/>
        <rFont val="Tahoma"/>
        <family val="2"/>
      </rPr>
      <t>u</t>
    </r>
    <r>
      <rPr>
        <sz val="10"/>
        <color indexed="8"/>
        <rFont val="Tahoma"/>
        <family val="2"/>
      </rPr>
      <t xml:space="preserve"> = 34,5 M J/m</t>
    </r>
    <r>
      <rPr>
        <vertAlign val="superscript"/>
        <sz val="10"/>
        <color indexed="8"/>
        <rFont val="Tahoma"/>
        <family val="2"/>
      </rPr>
      <t>3</t>
    </r>
  </si>
  <si>
    <t>Rusya'dan ithal edilen doğal gazın garanti değerleri.</t>
  </si>
  <si>
    <t>Üst Isıl Değer</t>
  </si>
  <si>
    <t>Borular</t>
  </si>
  <si>
    <t>uzunluk [m]</t>
  </si>
  <si>
    <t>dirsek</t>
  </si>
  <si>
    <t>birim fiyatı
YTL/m</t>
  </si>
  <si>
    <t>Birim fiyatı
YTL/Ad.</t>
  </si>
  <si>
    <t>birim fiyatı
PE Kaplı
YTL/m</t>
  </si>
  <si>
    <t>Fiyatı
YTL</t>
  </si>
  <si>
    <t>37,62 MJ/m3</t>
  </si>
  <si>
    <t>39,02 M'J/m3</t>
  </si>
  <si>
    <t>Max. 102 mg/m3</t>
  </si>
  <si>
    <t>37,41 MJ/m3</t>
  </si>
  <si>
    <r>
      <t>Not: m</t>
    </r>
    <r>
      <rPr>
        <vertAlign val="superscript"/>
        <sz val="8"/>
        <color indexed="8"/>
        <rFont val="Tahoma"/>
        <family val="2"/>
      </rPr>
      <t>3</t>
    </r>
    <r>
      <rPr>
        <sz val="8"/>
        <color indexed="8"/>
        <rFont val="Tahoma"/>
        <family val="2"/>
      </rPr>
      <t xml:space="preserve"> , 15 "C sıcaklık, 1,01325 bar basınçtaki 1 m</t>
    </r>
    <r>
      <rPr>
        <vertAlign val="superscript"/>
        <sz val="8"/>
        <color indexed="8"/>
        <rFont val="Tahoma"/>
        <family val="2"/>
      </rPr>
      <t>3</t>
    </r>
    <r>
      <rPr>
        <sz val="8"/>
        <color indexed="8"/>
        <rFont val="Tahoma"/>
        <family val="2"/>
      </rPr>
      <t xml:space="preserve"> gazın hacmine karşılık gelir.</t>
    </r>
  </si>
  <si>
    <t>vana</t>
  </si>
  <si>
    <t>T Kol
Ayrılma</t>
  </si>
  <si>
    <t>m/s</t>
  </si>
  <si>
    <t>boru çapı seçiminde kullanılacak hız sınırı</t>
  </si>
  <si>
    <t>sayfa koruması şifresi 112</t>
  </si>
  <si>
    <t>DİRSEK
 (45)</t>
  </si>
  <si>
    <t>T(Düz Geçiş)</t>
  </si>
  <si>
    <t>BACALI SOBA</t>
  </si>
  <si>
    <t>BORU ÇAPI HESAPLAMA VE YEREL KAYIPLAR ÇİZELGESİ</t>
  </si>
  <si>
    <t>Hermetik Soba</t>
  </si>
  <si>
    <t>bacalı soba</t>
  </si>
  <si>
    <t>KONUT
SAYISI</t>
  </si>
  <si>
    <t>OCAK + KOMBİ</t>
  </si>
  <si>
    <t>OCAK + ŞOFBEN</t>
  </si>
  <si>
    <t>HERMETİK
SOBA</t>
  </si>
  <si>
    <t>OCAK + 
KAT KAL.</t>
  </si>
  <si>
    <t>1,6+2,5
 m^3 /h</t>
  </si>
  <si>
    <t>1,6+3,2
m^3/h</t>
  </si>
  <si>
    <t>3x0,7
m^3/h</t>
  </si>
  <si>
    <t>3x 1,2 m^3/h</t>
  </si>
  <si>
    <t>1,6
m^3/h</t>
  </si>
  <si>
    <t>1.6+3,2
m^3/h</t>
  </si>
  <si>
    <t>16-1</t>
  </si>
  <si>
    <t>S.2</t>
  </si>
  <si>
    <t>1S.5</t>
  </si>
  <si>
    <t>106 6</t>
  </si>
  <si>
    <t>7D</t>
  </si>
  <si>
    <t>12S.7</t>
  </si>
  <si>
    <t>Konut Sayısı</t>
  </si>
  <si>
    <t>redüks</t>
  </si>
  <si>
    <t>T kol</t>
  </si>
  <si>
    <t>Ahmet Halük UZUNER</t>
  </si>
  <si>
    <t>&lt;  1.8</t>
  </si>
  <si>
    <t xml:space="preserve"> Kritik Hat :</t>
  </si>
</sst>
</file>

<file path=xl/styles.xml><?xml version="1.0" encoding="utf-8"?>
<styleSheet xmlns="http://schemas.openxmlformats.org/spreadsheetml/2006/main">
  <numFmts count="6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L&quot;#,##0_);\(&quot;TL&quot;#,##0\)"/>
    <numFmt numFmtId="181" formatCode="&quot;TL&quot;#,##0_);[Red]\(&quot;TL&quot;#,##0\)"/>
    <numFmt numFmtId="182" formatCode="&quot;TL&quot;#,##0.00_);\(&quot;TL&quot;#,##0.00\)"/>
    <numFmt numFmtId="183" formatCode="&quot;TL&quot;#,##0.00_);[Red]\(&quot;TL&quot;#,##0.00\)"/>
    <numFmt numFmtId="184" formatCode="_(&quot;TL&quot;* #,##0_);_(&quot;TL&quot;* \(#,##0\);_(&quot;TL&quot;* &quot;-&quot;_);_(@_)"/>
    <numFmt numFmtId="185" formatCode="_(&quot;TL&quot;* #,##0.00_);_(&quot;TL&quot;* \(#,##0.00\);_(&quot;TL&quot;* &quot;-&quot;??_);_(@_)"/>
    <numFmt numFmtId="186" formatCode="0.0"/>
    <numFmt numFmtId="187" formatCode="0.0000"/>
    <numFmt numFmtId="188" formatCode="0.0000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0.000000000"/>
    <numFmt numFmtId="193" formatCode="[$-41F]dd\ mmmm\ yyyy\ dddd"/>
    <numFmt numFmtId="194" formatCode="0.00000"/>
    <numFmt numFmtId="195" formatCode="0.000"/>
    <numFmt numFmtId="196" formatCode="0.0000000"/>
    <numFmt numFmtId="197" formatCode="0.000E+00"/>
    <numFmt numFmtId="198" formatCode="0.0E+00"/>
    <numFmt numFmtId="199" formatCode="0.0%"/>
    <numFmt numFmtId="200" formatCode="0.00000000"/>
    <numFmt numFmtId="201" formatCode="0.00_ ;\-0.00\ "/>
    <numFmt numFmtId="202" formatCode="#,##0.0"/>
    <numFmt numFmtId="203" formatCode="&quot;Δ&quot;"/>
    <numFmt numFmtId="204" formatCode="#,###&quot;Δ&quot;"/>
    <numFmt numFmtId="205" formatCode="_-* #,##0.0\ _T_L_-;\-* #,##0.0\ _T_L_-;_-* &quot;-&quot;??\ _T_L_-;_-@_-"/>
    <numFmt numFmtId="206" formatCode="_-* #,##0\ _T_L_-;\-* #,##0\ _T_L_-;_-* &quot;-&quot;??\ _T_L_-;_-@_-"/>
    <numFmt numFmtId="207" formatCode="#.##0.0"/>
    <numFmt numFmtId="208" formatCode="#.##0.00"/>
    <numFmt numFmtId="209" formatCode="#.##0."/>
    <numFmt numFmtId="210" formatCode="#.##0"/>
    <numFmt numFmtId="211" formatCode="0.0000000000"/>
    <numFmt numFmtId="212" formatCode="0.00000000000"/>
    <numFmt numFmtId="213" formatCode="0.000000000000"/>
    <numFmt numFmtId="214" formatCode="0.000000000000000000000000000"/>
    <numFmt numFmtId="215" formatCode="[$-409]dddd\,\ mmmm\ dd\,\ yyyy"/>
    <numFmt numFmtId="216" formatCode="#,##0.00\ &quot;TL&quot;"/>
    <numFmt numFmtId="217" formatCode="#,##0.00\ _T_L"/>
    <numFmt numFmtId="218" formatCode="#,##0\ &quot;TL&quot;"/>
    <numFmt numFmtId="219" formatCode="dd/mm/yy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vertAlign val="superscript"/>
      <sz val="14"/>
      <name val="Arial"/>
      <family val="2"/>
    </font>
    <font>
      <b/>
      <u val="single"/>
      <vertAlign val="superscript"/>
      <sz val="14"/>
      <name val="Arial"/>
      <family val="2"/>
    </font>
    <font>
      <b/>
      <i/>
      <sz val="10"/>
      <name val="Arial"/>
      <family val="0"/>
    </font>
    <font>
      <sz val="10"/>
      <name val="Tahoma"/>
      <family val="2"/>
    </font>
    <font>
      <sz val="6"/>
      <name val="Arial"/>
      <family val="2"/>
    </font>
    <font>
      <b/>
      <sz val="10"/>
      <name val="Arial Tur"/>
      <family val="0"/>
    </font>
    <font>
      <b/>
      <vertAlign val="subscript"/>
      <sz val="10"/>
      <name val="Arial"/>
      <family val="2"/>
    </font>
    <font>
      <sz val="10"/>
      <name val="Arial Tur"/>
      <family val="0"/>
    </font>
    <font>
      <b/>
      <sz val="11"/>
      <name val="Arial"/>
      <family val="2"/>
    </font>
    <font>
      <sz val="8"/>
      <name val="Arial Tur"/>
      <family val="0"/>
    </font>
    <font>
      <vertAlign val="subscript"/>
      <sz val="10"/>
      <name val="Arial Tur"/>
      <family val="0"/>
    </font>
    <font>
      <sz val="10"/>
      <name val="Symbol"/>
      <family val="1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0"/>
      <name val="Times New Roman Tur"/>
      <family val="1"/>
    </font>
    <font>
      <sz val="12"/>
      <name val="Times New Roman Tur"/>
      <family val="1"/>
    </font>
    <font>
      <b/>
      <sz val="10"/>
      <name val="Times New Roman Tur"/>
      <family val="1"/>
    </font>
    <font>
      <b/>
      <vertAlign val="superscript"/>
      <sz val="10"/>
      <name val="Times New Roman Tur"/>
      <family val="1"/>
    </font>
    <font>
      <vertAlign val="subscript"/>
      <sz val="10"/>
      <name val="Times New Roman Tur"/>
      <family val="1"/>
    </font>
    <font>
      <vertAlign val="superscript"/>
      <sz val="10"/>
      <name val="Times New Roman Tur"/>
      <family val="1"/>
    </font>
    <font>
      <b/>
      <vertAlign val="subscript"/>
      <sz val="10"/>
      <name val="Times New Roman Tur"/>
      <family val="1"/>
    </font>
    <font>
      <sz val="10"/>
      <color indexed="8"/>
      <name val="Tahoma"/>
      <family val="2"/>
    </font>
    <font>
      <vertAlign val="subscript"/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13" fillId="0" borderId="0" applyFont="0" applyFill="0" applyBorder="0" applyAlignment="0" applyProtection="0"/>
  </cellStyleXfs>
  <cellXfs count="408">
    <xf numFmtId="0" fontId="0" fillId="0" borderId="0" xfId="0" applyNumberFormat="1" applyFont="1" applyFill="1" applyBorder="1" applyAlignment="1" applyProtection="1">
      <alignment vertical="top"/>
      <protection/>
    </xf>
    <xf numFmtId="186" fontId="2" fillId="0" borderId="10" xfId="0" applyNumberFormat="1" applyFont="1" applyFill="1" applyBorder="1" applyAlignment="1" applyProtection="1">
      <alignment horizontal="right" vertical="top"/>
      <protection/>
    </xf>
    <xf numFmtId="186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186" fontId="2" fillId="0" borderId="0" xfId="0" applyNumberFormat="1" applyFont="1" applyFill="1" applyBorder="1" applyAlignment="1" applyProtection="1">
      <alignment horizontal="right" vertical="top"/>
      <protection locked="0"/>
    </xf>
    <xf numFmtId="18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87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186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88" fontId="2" fillId="0" borderId="0" xfId="0" applyNumberFormat="1" applyFont="1" applyFill="1" applyBorder="1" applyAlignment="1" applyProtection="1">
      <alignment horizontal="left" vertical="top"/>
      <protection locked="0"/>
    </xf>
    <xf numFmtId="188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14" fontId="2" fillId="0" borderId="0" xfId="0" applyNumberFormat="1" applyFont="1" applyFill="1" applyBorder="1" applyAlignment="1" applyProtection="1">
      <alignment horizontal="left" vertical="top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87" fontId="2" fillId="0" borderId="0" xfId="0" applyNumberFormat="1" applyFont="1" applyFill="1" applyBorder="1" applyAlignment="1" applyProtection="1">
      <alignment horizontal="left" vertical="center"/>
      <protection locked="0"/>
    </xf>
    <xf numFmtId="186" fontId="2" fillId="33" borderId="10" xfId="0" applyNumberFormat="1" applyFont="1" applyFill="1" applyBorder="1" applyAlignment="1" applyProtection="1">
      <alignment horizontal="right" vertical="top"/>
      <protection/>
    </xf>
    <xf numFmtId="186" fontId="2" fillId="33" borderId="10" xfId="0" applyNumberFormat="1" applyFont="1" applyFill="1" applyBorder="1" applyAlignment="1" applyProtection="1">
      <alignment horizontal="right" vertical="center" wrapText="1"/>
      <protection/>
    </xf>
    <xf numFmtId="187" fontId="2" fillId="33" borderId="10" xfId="0" applyNumberFormat="1" applyFont="1" applyFill="1" applyBorder="1" applyAlignment="1" applyProtection="1">
      <alignment horizontal="right" vertical="center" wrapText="1"/>
      <protection/>
    </xf>
    <xf numFmtId="186" fontId="2" fillId="33" borderId="10" xfId="0" applyNumberFormat="1" applyFont="1" applyFill="1" applyBorder="1" applyAlignment="1" applyProtection="1">
      <alignment horizontal="right" vertical="center"/>
      <protection/>
    </xf>
    <xf numFmtId="186" fontId="2" fillId="34" borderId="10" xfId="0" applyNumberFormat="1" applyFont="1" applyFill="1" applyBorder="1" applyAlignment="1" applyProtection="1">
      <alignment horizontal="right" vertical="top"/>
      <protection/>
    </xf>
    <xf numFmtId="186" fontId="2" fillId="34" borderId="10" xfId="0" applyNumberFormat="1" applyFont="1" applyFill="1" applyBorder="1" applyAlignment="1" applyProtection="1">
      <alignment horizontal="right" vertical="center" wrapText="1"/>
      <protection/>
    </xf>
    <xf numFmtId="187" fontId="2" fillId="34" borderId="10" xfId="0" applyNumberFormat="1" applyFont="1" applyFill="1" applyBorder="1" applyAlignment="1" applyProtection="1">
      <alignment horizontal="right" vertical="center" wrapText="1"/>
      <protection/>
    </xf>
    <xf numFmtId="186" fontId="2" fillId="34" borderId="10" xfId="0" applyNumberFormat="1" applyFont="1" applyFill="1" applyBorder="1" applyAlignment="1" applyProtection="1">
      <alignment horizontal="right" vertical="center"/>
      <protection/>
    </xf>
    <xf numFmtId="186" fontId="2" fillId="35" borderId="10" xfId="0" applyNumberFormat="1" applyFont="1" applyFill="1" applyBorder="1" applyAlignment="1" applyProtection="1">
      <alignment horizontal="right" vertical="top"/>
      <protection/>
    </xf>
    <xf numFmtId="186" fontId="2" fillId="35" borderId="10" xfId="0" applyNumberFormat="1" applyFont="1" applyFill="1" applyBorder="1" applyAlignment="1" applyProtection="1">
      <alignment horizontal="right" vertical="center" wrapText="1"/>
      <protection/>
    </xf>
    <xf numFmtId="187" fontId="2" fillId="35" borderId="10" xfId="0" applyNumberFormat="1" applyFont="1" applyFill="1" applyBorder="1" applyAlignment="1" applyProtection="1">
      <alignment horizontal="right" vertical="center" wrapText="1"/>
      <protection/>
    </xf>
    <xf numFmtId="186" fontId="2" fillId="35" borderId="10" xfId="0" applyNumberFormat="1" applyFont="1" applyFill="1" applyBorder="1" applyAlignment="1" applyProtection="1">
      <alignment horizontal="right" vertical="center"/>
      <protection/>
    </xf>
    <xf numFmtId="186" fontId="2" fillId="36" borderId="10" xfId="0" applyNumberFormat="1" applyFont="1" applyFill="1" applyBorder="1" applyAlignment="1" applyProtection="1">
      <alignment horizontal="right" vertical="top"/>
      <protection/>
    </xf>
    <xf numFmtId="186" fontId="2" fillId="36" borderId="10" xfId="0" applyNumberFormat="1" applyFont="1" applyFill="1" applyBorder="1" applyAlignment="1" applyProtection="1">
      <alignment horizontal="right" vertical="center" wrapText="1"/>
      <protection/>
    </xf>
    <xf numFmtId="187" fontId="2" fillId="36" borderId="10" xfId="0" applyNumberFormat="1" applyFont="1" applyFill="1" applyBorder="1" applyAlignment="1" applyProtection="1">
      <alignment horizontal="right" vertical="center" wrapText="1"/>
      <protection/>
    </xf>
    <xf numFmtId="186" fontId="2" fillId="36" borderId="10" xfId="0" applyNumberFormat="1" applyFont="1" applyFill="1" applyBorder="1" applyAlignment="1" applyProtection="1">
      <alignment horizontal="right" vertical="center"/>
      <protection/>
    </xf>
    <xf numFmtId="186" fontId="2" fillId="37" borderId="10" xfId="0" applyNumberFormat="1" applyFont="1" applyFill="1" applyBorder="1" applyAlignment="1" applyProtection="1">
      <alignment horizontal="right" vertical="top"/>
      <protection/>
    </xf>
    <xf numFmtId="186" fontId="2" fillId="37" borderId="10" xfId="0" applyNumberFormat="1" applyFont="1" applyFill="1" applyBorder="1" applyAlignment="1" applyProtection="1">
      <alignment horizontal="right" vertical="center" wrapText="1"/>
      <protection/>
    </xf>
    <xf numFmtId="187" fontId="2" fillId="37" borderId="10" xfId="0" applyNumberFormat="1" applyFont="1" applyFill="1" applyBorder="1" applyAlignment="1" applyProtection="1">
      <alignment horizontal="right" vertical="center" wrapText="1"/>
      <protection/>
    </xf>
    <xf numFmtId="186" fontId="2" fillId="37" borderId="10" xfId="0" applyNumberFormat="1" applyFont="1" applyFill="1" applyBorder="1" applyAlignment="1" applyProtection="1">
      <alignment horizontal="right" vertical="center"/>
      <protection/>
    </xf>
    <xf numFmtId="186" fontId="2" fillId="38" borderId="10" xfId="0" applyNumberFormat="1" applyFont="1" applyFill="1" applyBorder="1" applyAlignment="1" applyProtection="1">
      <alignment horizontal="right" vertical="top"/>
      <protection/>
    </xf>
    <xf numFmtId="186" fontId="2" fillId="38" borderId="10" xfId="0" applyNumberFormat="1" applyFont="1" applyFill="1" applyBorder="1" applyAlignment="1" applyProtection="1">
      <alignment horizontal="right" vertical="center" wrapText="1"/>
      <protection/>
    </xf>
    <xf numFmtId="187" fontId="2" fillId="38" borderId="10" xfId="0" applyNumberFormat="1" applyFont="1" applyFill="1" applyBorder="1" applyAlignment="1" applyProtection="1">
      <alignment horizontal="right" vertical="center" wrapText="1"/>
      <protection/>
    </xf>
    <xf numFmtId="186" fontId="2" fillId="38" borderId="10" xfId="0" applyNumberFormat="1" applyFont="1" applyFill="1" applyBorder="1" applyAlignment="1" applyProtection="1">
      <alignment horizontal="right" vertical="center"/>
      <protection/>
    </xf>
    <xf numFmtId="186" fontId="2" fillId="39" borderId="10" xfId="0" applyNumberFormat="1" applyFont="1" applyFill="1" applyBorder="1" applyAlignment="1" applyProtection="1">
      <alignment horizontal="right" vertical="top"/>
      <protection/>
    </xf>
    <xf numFmtId="186" fontId="2" fillId="39" borderId="10" xfId="0" applyNumberFormat="1" applyFont="1" applyFill="1" applyBorder="1" applyAlignment="1" applyProtection="1">
      <alignment horizontal="right" vertical="center" wrapText="1"/>
      <protection/>
    </xf>
    <xf numFmtId="187" fontId="2" fillId="39" borderId="10" xfId="0" applyNumberFormat="1" applyFont="1" applyFill="1" applyBorder="1" applyAlignment="1" applyProtection="1">
      <alignment horizontal="right" vertical="center" wrapText="1"/>
      <protection/>
    </xf>
    <xf numFmtId="186" fontId="2" fillId="39" borderId="10" xfId="0" applyNumberFormat="1" applyFont="1" applyFill="1" applyBorder="1" applyAlignment="1" applyProtection="1">
      <alignment horizontal="right" vertical="center"/>
      <protection/>
    </xf>
    <xf numFmtId="186" fontId="2" fillId="40" borderId="10" xfId="0" applyNumberFormat="1" applyFont="1" applyFill="1" applyBorder="1" applyAlignment="1" applyProtection="1">
      <alignment horizontal="right" vertical="top"/>
      <protection/>
    </xf>
    <xf numFmtId="186" fontId="2" fillId="40" borderId="10" xfId="0" applyNumberFormat="1" applyFont="1" applyFill="1" applyBorder="1" applyAlignment="1" applyProtection="1">
      <alignment horizontal="right" vertical="center" wrapText="1"/>
      <protection/>
    </xf>
    <xf numFmtId="187" fontId="2" fillId="40" borderId="10" xfId="0" applyNumberFormat="1" applyFont="1" applyFill="1" applyBorder="1" applyAlignment="1" applyProtection="1">
      <alignment horizontal="right" vertical="center" wrapText="1"/>
      <protection/>
    </xf>
    <xf numFmtId="186" fontId="2" fillId="4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 indent="4"/>
      <protection/>
    </xf>
    <xf numFmtId="0" fontId="0" fillId="0" borderId="10" xfId="0" applyNumberFormat="1" applyFont="1" applyFill="1" applyBorder="1" applyAlignment="1" applyProtection="1">
      <alignment horizontal="left" vertical="top" indent="7"/>
      <protection/>
    </xf>
    <xf numFmtId="187" fontId="2" fillId="33" borderId="10" xfId="0" applyNumberFormat="1" applyFont="1" applyFill="1" applyBorder="1" applyAlignment="1" applyProtection="1">
      <alignment horizontal="center" vertical="center" wrapText="1"/>
      <protection/>
    </xf>
    <xf numFmtId="186" fontId="2" fillId="33" borderId="10" xfId="0" applyNumberFormat="1" applyFont="1" applyFill="1" applyBorder="1" applyAlignment="1" applyProtection="1">
      <alignment horizontal="center" vertical="center" wrapText="1"/>
      <protection/>
    </xf>
    <xf numFmtId="186" fontId="3" fillId="33" borderId="10" xfId="0" applyNumberFormat="1" applyFont="1" applyFill="1" applyBorder="1" applyAlignment="1" applyProtection="1">
      <alignment horizontal="center" vertical="center" wrapText="1"/>
      <protection/>
    </xf>
    <xf numFmtId="187" fontId="2" fillId="34" borderId="10" xfId="0" applyNumberFormat="1" applyFont="1" applyFill="1" applyBorder="1" applyAlignment="1" applyProtection="1">
      <alignment horizontal="center" vertical="center" wrapText="1"/>
      <protection/>
    </xf>
    <xf numFmtId="186" fontId="2" fillId="34" borderId="10" xfId="0" applyNumberFormat="1" applyFont="1" applyFill="1" applyBorder="1" applyAlignment="1" applyProtection="1">
      <alignment horizontal="center" vertical="center" wrapText="1"/>
      <protection/>
    </xf>
    <xf numFmtId="186" fontId="3" fillId="34" borderId="10" xfId="0" applyNumberFormat="1" applyFont="1" applyFill="1" applyBorder="1" applyAlignment="1" applyProtection="1">
      <alignment horizontal="center" vertical="center" wrapText="1"/>
      <protection/>
    </xf>
    <xf numFmtId="187" fontId="2" fillId="35" borderId="10" xfId="0" applyNumberFormat="1" applyFont="1" applyFill="1" applyBorder="1" applyAlignment="1" applyProtection="1">
      <alignment horizontal="center" vertical="center" wrapText="1"/>
      <protection/>
    </xf>
    <xf numFmtId="186" fontId="2" fillId="35" borderId="10" xfId="0" applyNumberFormat="1" applyFont="1" applyFill="1" applyBorder="1" applyAlignment="1" applyProtection="1">
      <alignment horizontal="center" vertical="center" wrapText="1"/>
      <protection/>
    </xf>
    <xf numFmtId="186" fontId="3" fillId="35" borderId="10" xfId="0" applyNumberFormat="1" applyFont="1" applyFill="1" applyBorder="1" applyAlignment="1" applyProtection="1">
      <alignment horizontal="center" vertical="center" wrapText="1"/>
      <protection/>
    </xf>
    <xf numFmtId="187" fontId="2" fillId="36" borderId="10" xfId="0" applyNumberFormat="1" applyFont="1" applyFill="1" applyBorder="1" applyAlignment="1" applyProtection="1">
      <alignment horizontal="center" vertical="center" wrapText="1"/>
      <protection/>
    </xf>
    <xf numFmtId="186" fontId="2" fillId="36" borderId="10" xfId="0" applyNumberFormat="1" applyFont="1" applyFill="1" applyBorder="1" applyAlignment="1" applyProtection="1">
      <alignment horizontal="center" vertical="center" wrapText="1"/>
      <protection/>
    </xf>
    <xf numFmtId="186" fontId="3" fillId="36" borderId="10" xfId="0" applyNumberFormat="1" applyFont="1" applyFill="1" applyBorder="1" applyAlignment="1" applyProtection="1">
      <alignment horizontal="center" vertical="center" wrapText="1"/>
      <protection/>
    </xf>
    <xf numFmtId="187" fontId="2" fillId="37" borderId="10" xfId="0" applyNumberFormat="1" applyFont="1" applyFill="1" applyBorder="1" applyAlignment="1" applyProtection="1">
      <alignment horizontal="center" vertical="center" wrapText="1"/>
      <protection/>
    </xf>
    <xf numFmtId="186" fontId="2" fillId="37" borderId="10" xfId="0" applyNumberFormat="1" applyFont="1" applyFill="1" applyBorder="1" applyAlignment="1" applyProtection="1">
      <alignment horizontal="center" vertical="center" wrapText="1"/>
      <protection/>
    </xf>
    <xf numFmtId="186" fontId="3" fillId="37" borderId="10" xfId="0" applyNumberFormat="1" applyFont="1" applyFill="1" applyBorder="1" applyAlignment="1" applyProtection="1">
      <alignment horizontal="center" vertical="center" wrapText="1"/>
      <protection/>
    </xf>
    <xf numFmtId="187" fontId="2" fillId="38" borderId="10" xfId="0" applyNumberFormat="1" applyFont="1" applyFill="1" applyBorder="1" applyAlignment="1" applyProtection="1">
      <alignment horizontal="center" vertical="center" wrapText="1"/>
      <protection/>
    </xf>
    <xf numFmtId="186" fontId="2" fillId="38" borderId="10" xfId="0" applyNumberFormat="1" applyFont="1" applyFill="1" applyBorder="1" applyAlignment="1" applyProtection="1">
      <alignment horizontal="center" vertical="center" wrapText="1"/>
      <protection/>
    </xf>
    <xf numFmtId="186" fontId="3" fillId="38" borderId="10" xfId="0" applyNumberFormat="1" applyFont="1" applyFill="1" applyBorder="1" applyAlignment="1" applyProtection="1">
      <alignment horizontal="center" vertical="center" wrapText="1"/>
      <protection/>
    </xf>
    <xf numFmtId="187" fontId="2" fillId="39" borderId="10" xfId="0" applyNumberFormat="1" applyFont="1" applyFill="1" applyBorder="1" applyAlignment="1" applyProtection="1">
      <alignment horizontal="center" vertical="center" wrapText="1"/>
      <protection/>
    </xf>
    <xf numFmtId="186" fontId="2" fillId="39" borderId="10" xfId="0" applyNumberFormat="1" applyFont="1" applyFill="1" applyBorder="1" applyAlignment="1" applyProtection="1">
      <alignment horizontal="center" vertical="center" wrapText="1"/>
      <protection/>
    </xf>
    <xf numFmtId="186" fontId="3" fillId="39" borderId="10" xfId="0" applyNumberFormat="1" applyFont="1" applyFill="1" applyBorder="1" applyAlignment="1" applyProtection="1">
      <alignment horizontal="center" vertical="center" wrapText="1"/>
      <protection/>
    </xf>
    <xf numFmtId="187" fontId="2" fillId="40" borderId="10" xfId="0" applyNumberFormat="1" applyFont="1" applyFill="1" applyBorder="1" applyAlignment="1" applyProtection="1">
      <alignment horizontal="center" vertical="center" wrapText="1"/>
      <protection/>
    </xf>
    <xf numFmtId="186" fontId="2" fillId="40" borderId="10" xfId="0" applyNumberFormat="1" applyFont="1" applyFill="1" applyBorder="1" applyAlignment="1" applyProtection="1">
      <alignment horizontal="center" vertical="center" wrapText="1"/>
      <protection/>
    </xf>
    <xf numFmtId="186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3" fillId="0" borderId="0" xfId="50">
      <alignment/>
      <protection/>
    </xf>
    <xf numFmtId="0" fontId="13" fillId="0" borderId="0" xfId="50" applyFill="1">
      <alignment/>
      <protection/>
    </xf>
    <xf numFmtId="0" fontId="13" fillId="0" borderId="0" xfId="50" applyFill="1" applyAlignment="1">
      <alignment horizontal="center"/>
      <protection/>
    </xf>
    <xf numFmtId="188" fontId="13" fillId="0" borderId="0" xfId="50" applyNumberFormat="1" applyFill="1" applyAlignment="1">
      <alignment horizontal="center"/>
      <protection/>
    </xf>
    <xf numFmtId="0" fontId="13" fillId="0" borderId="11" xfId="50" applyFill="1" applyBorder="1">
      <alignment/>
      <protection/>
    </xf>
    <xf numFmtId="0" fontId="13" fillId="0" borderId="12" xfId="50" applyFill="1" applyBorder="1" applyAlignment="1">
      <alignment horizontal="center"/>
      <protection/>
    </xf>
    <xf numFmtId="0" fontId="13" fillId="41" borderId="13" xfId="50" applyFill="1" applyBorder="1" applyProtection="1">
      <alignment/>
      <protection locked="0"/>
    </xf>
    <xf numFmtId="0" fontId="13" fillId="41" borderId="14" xfId="50" applyFill="1" applyBorder="1" applyProtection="1">
      <alignment/>
      <protection locked="0"/>
    </xf>
    <xf numFmtId="0" fontId="13" fillId="41" borderId="10" xfId="50" applyFill="1" applyBorder="1" applyAlignment="1" applyProtection="1">
      <alignment horizontal="center"/>
      <protection locked="0"/>
    </xf>
    <xf numFmtId="1" fontId="13" fillId="41" borderId="10" xfId="50" applyNumberFormat="1" applyFill="1" applyBorder="1" applyAlignment="1" applyProtection="1">
      <alignment horizontal="center"/>
      <protection locked="0"/>
    </xf>
    <xf numFmtId="0" fontId="13" fillId="0" borderId="10" xfId="50" applyFill="1" applyBorder="1" applyAlignment="1">
      <alignment horizontal="center"/>
      <protection/>
    </xf>
    <xf numFmtId="195" fontId="13" fillId="0" borderId="10" xfId="50" applyNumberFormat="1" applyFill="1" applyBorder="1" applyAlignment="1">
      <alignment horizontal="center"/>
      <protection/>
    </xf>
    <xf numFmtId="188" fontId="13" fillId="0" borderId="10" xfId="50" applyNumberFormat="1" applyFill="1" applyBorder="1" applyAlignment="1">
      <alignment horizontal="center"/>
      <protection/>
    </xf>
    <xf numFmtId="0" fontId="13" fillId="41" borderId="11" xfId="50" applyFill="1" applyBorder="1" applyProtection="1">
      <alignment/>
      <protection locked="0"/>
    </xf>
    <xf numFmtId="1" fontId="13" fillId="0" borderId="0" xfId="50" applyNumberFormat="1" applyFill="1" applyAlignment="1">
      <alignment horizontal="center"/>
      <protection/>
    </xf>
    <xf numFmtId="0" fontId="13" fillId="0" borderId="0" xfId="50" applyAlignment="1">
      <alignment horizontal="center"/>
      <protection/>
    </xf>
    <xf numFmtId="0" fontId="13" fillId="0" borderId="15" xfId="50" applyBorder="1">
      <alignment/>
      <protection/>
    </xf>
    <xf numFmtId="0" fontId="13" fillId="0" borderId="16" xfId="50" applyBorder="1" applyAlignment="1">
      <alignment horizontal="center"/>
      <protection/>
    </xf>
    <xf numFmtId="0" fontId="13" fillId="0" borderId="17" xfId="50" applyBorder="1" applyAlignment="1">
      <alignment horizontal="center"/>
      <protection/>
    </xf>
    <xf numFmtId="0" fontId="13" fillId="0" borderId="18" xfId="50" applyBorder="1">
      <alignment/>
      <protection/>
    </xf>
    <xf numFmtId="0" fontId="13" fillId="0" borderId="19" xfId="50" applyBorder="1" applyAlignment="1">
      <alignment horizontal="center"/>
      <protection/>
    </xf>
    <xf numFmtId="0" fontId="13" fillId="0" borderId="20" xfId="50" applyBorder="1" applyAlignment="1">
      <alignment horizontal="center"/>
      <protection/>
    </xf>
    <xf numFmtId="0" fontId="13" fillId="0" borderId="13" xfId="50" applyBorder="1">
      <alignment/>
      <protection/>
    </xf>
    <xf numFmtId="0" fontId="13" fillId="0" borderId="21" xfId="50" applyBorder="1" applyAlignment="1">
      <alignment horizontal="center"/>
      <protection/>
    </xf>
    <xf numFmtId="0" fontId="13" fillId="0" borderId="22" xfId="50" applyBorder="1" applyAlignment="1">
      <alignment horizontal="center"/>
      <protection/>
    </xf>
    <xf numFmtId="0" fontId="13" fillId="0" borderId="14" xfId="50" applyBorder="1">
      <alignment/>
      <protection/>
    </xf>
    <xf numFmtId="49" fontId="13" fillId="0" borderId="10" xfId="50" applyNumberFormat="1" applyBorder="1" applyAlignment="1">
      <alignment horizontal="center"/>
      <protection/>
    </xf>
    <xf numFmtId="0" fontId="13" fillId="0" borderId="10" xfId="50" applyBorder="1" applyAlignment="1">
      <alignment horizontal="center"/>
      <protection/>
    </xf>
    <xf numFmtId="0" fontId="13" fillId="0" borderId="10" xfId="50" applyBorder="1">
      <alignment/>
      <protection/>
    </xf>
    <xf numFmtId="0" fontId="13" fillId="0" borderId="23" xfId="50" applyBorder="1">
      <alignment/>
      <protection/>
    </xf>
    <xf numFmtId="0" fontId="13" fillId="0" borderId="11" xfId="50" applyBorder="1">
      <alignment/>
      <protection/>
    </xf>
    <xf numFmtId="49" fontId="13" fillId="0" borderId="12" xfId="50" applyNumberFormat="1" applyBorder="1" applyAlignment="1">
      <alignment horizontal="center"/>
      <protection/>
    </xf>
    <xf numFmtId="0" fontId="13" fillId="0" borderId="12" xfId="50" applyBorder="1" applyAlignment="1">
      <alignment horizontal="center"/>
      <protection/>
    </xf>
    <xf numFmtId="0" fontId="13" fillId="0" borderId="12" xfId="50" applyBorder="1">
      <alignment/>
      <protection/>
    </xf>
    <xf numFmtId="0" fontId="13" fillId="0" borderId="24" xfId="50" applyBorder="1">
      <alignment/>
      <protection/>
    </xf>
    <xf numFmtId="49" fontId="13" fillId="0" borderId="0" xfId="50" applyNumberFormat="1" applyAlignment="1">
      <alignment horizontal="center"/>
      <protection/>
    </xf>
    <xf numFmtId="0" fontId="15" fillId="39" borderId="15" xfId="50" applyFont="1" applyFill="1" applyBorder="1" applyProtection="1">
      <alignment/>
      <protection locked="0"/>
    </xf>
    <xf numFmtId="0" fontId="15" fillId="39" borderId="16" xfId="50" applyFont="1" applyFill="1" applyBorder="1" applyProtection="1">
      <alignment/>
      <protection locked="0"/>
    </xf>
    <xf numFmtId="0" fontId="15" fillId="39" borderId="17" xfId="50" applyFont="1" applyFill="1" applyBorder="1" applyProtection="1">
      <alignment/>
      <protection locked="0"/>
    </xf>
    <xf numFmtId="0" fontId="15" fillId="0" borderId="0" xfId="50" applyFont="1" applyBorder="1" applyProtection="1">
      <alignment/>
      <protection locked="0"/>
    </xf>
    <xf numFmtId="0" fontId="15" fillId="0" borderId="0" xfId="50" applyFont="1" applyBorder="1" applyAlignment="1" applyProtection="1">
      <alignment horizontal="center"/>
      <protection locked="0"/>
    </xf>
    <xf numFmtId="0" fontId="17" fillId="0" borderId="0" xfId="50" applyFont="1" applyBorder="1" applyAlignment="1" applyProtection="1">
      <alignment horizontal="center" vertical="center" wrapText="1"/>
      <protection locked="0"/>
    </xf>
    <xf numFmtId="0" fontId="15" fillId="39" borderId="25" xfId="50" applyFont="1" applyFill="1" applyBorder="1" applyProtection="1">
      <alignment/>
      <protection locked="0"/>
    </xf>
    <xf numFmtId="0" fontId="15" fillId="39" borderId="26" xfId="50" applyFont="1" applyFill="1" applyBorder="1" applyAlignment="1" applyProtection="1">
      <alignment horizontal="center"/>
      <protection locked="0"/>
    </xf>
    <xf numFmtId="0" fontId="15" fillId="39" borderId="26" xfId="50" applyFont="1" applyFill="1" applyBorder="1" applyProtection="1">
      <alignment/>
      <protection locked="0"/>
    </xf>
    <xf numFmtId="0" fontId="15" fillId="39" borderId="27" xfId="50" applyFont="1" applyFill="1" applyBorder="1" applyProtection="1">
      <alignment/>
      <protection locked="0"/>
    </xf>
    <xf numFmtId="0" fontId="15" fillId="39" borderId="14" xfId="50" applyFont="1" applyFill="1" applyBorder="1" applyProtection="1">
      <alignment/>
      <protection locked="0"/>
    </xf>
    <xf numFmtId="0" fontId="15" fillId="39" borderId="10" xfId="50" applyFont="1" applyFill="1" applyBorder="1" applyProtection="1">
      <alignment/>
      <protection locked="0"/>
    </xf>
    <xf numFmtId="0" fontId="15" fillId="39" borderId="23" xfId="50" applyFont="1" applyFill="1" applyBorder="1" applyProtection="1">
      <alignment/>
      <protection locked="0"/>
    </xf>
    <xf numFmtId="199" fontId="15" fillId="39" borderId="10" xfId="64" applyNumberFormat="1" applyFont="1" applyFill="1" applyBorder="1" applyAlignment="1" applyProtection="1">
      <alignment/>
      <protection locked="0"/>
    </xf>
    <xf numFmtId="195" fontId="15" fillId="0" borderId="0" xfId="50" applyNumberFormat="1" applyFont="1" applyBorder="1" applyProtection="1">
      <alignment/>
      <protection locked="0"/>
    </xf>
    <xf numFmtId="2" fontId="15" fillId="0" borderId="0" xfId="50" applyNumberFormat="1" applyFont="1" applyBorder="1" applyAlignment="1" applyProtection="1">
      <alignment horizontal="center"/>
      <protection locked="0"/>
    </xf>
    <xf numFmtId="0" fontId="15" fillId="39" borderId="11" xfId="50" applyFont="1" applyFill="1" applyBorder="1" applyProtection="1">
      <alignment/>
      <protection locked="0"/>
    </xf>
    <xf numFmtId="199" fontId="15" fillId="39" borderId="12" xfId="64" applyNumberFormat="1" applyFont="1" applyFill="1" applyBorder="1" applyAlignment="1" applyProtection="1">
      <alignment/>
      <protection locked="0"/>
    </xf>
    <xf numFmtId="1" fontId="15" fillId="39" borderId="12" xfId="50" applyNumberFormat="1" applyFont="1" applyFill="1" applyBorder="1" applyProtection="1">
      <alignment/>
      <protection locked="0"/>
    </xf>
    <xf numFmtId="0" fontId="15" fillId="39" borderId="24" xfId="50" applyFont="1" applyFill="1" applyBorder="1" applyProtection="1">
      <alignment/>
      <protection locked="0"/>
    </xf>
    <xf numFmtId="0" fontId="15" fillId="0" borderId="15" xfId="50" applyFont="1" applyBorder="1" applyProtection="1">
      <alignment/>
      <protection locked="0"/>
    </xf>
    <xf numFmtId="0" fontId="0" fillId="0" borderId="17" xfId="50" applyFont="1" applyBorder="1" applyAlignment="1" applyProtection="1" quotePrefix="1">
      <alignment horizontal="center" vertical="center" wrapText="1"/>
      <protection locked="0"/>
    </xf>
    <xf numFmtId="0" fontId="15" fillId="0" borderId="18" xfId="50" applyFont="1" applyBorder="1" applyProtection="1">
      <alignment/>
      <protection locked="0"/>
    </xf>
    <xf numFmtId="186" fontId="0" fillId="0" borderId="20" xfId="50" applyNumberFormat="1" applyFont="1" applyBorder="1" applyAlignment="1" applyProtection="1" quotePrefix="1">
      <alignment horizontal="center" vertical="center" wrapText="1"/>
      <protection locked="0"/>
    </xf>
    <xf numFmtId="0" fontId="0" fillId="0" borderId="20" xfId="50" applyFont="1" applyBorder="1" applyAlignment="1" applyProtection="1" quotePrefix="1">
      <alignment horizontal="center" vertical="center" wrapText="1"/>
      <protection locked="0"/>
    </xf>
    <xf numFmtId="0" fontId="15" fillId="0" borderId="28" xfId="50" applyFont="1" applyBorder="1" applyProtection="1">
      <alignment/>
      <protection locked="0"/>
    </xf>
    <xf numFmtId="0" fontId="0" fillId="0" borderId="29" xfId="50" applyFont="1" applyBorder="1" applyAlignment="1" applyProtection="1" quotePrefix="1">
      <alignment horizontal="center" vertical="center" wrapText="1"/>
      <protection locked="0"/>
    </xf>
    <xf numFmtId="0" fontId="15" fillId="0" borderId="30" xfId="50" applyFont="1" applyFill="1" applyBorder="1" applyAlignment="1" applyProtection="1">
      <alignment horizontal="center" vertical="center" wrapText="1"/>
      <protection locked="0"/>
    </xf>
    <xf numFmtId="0" fontId="15" fillId="0" borderId="31" xfId="50" applyFont="1" applyFill="1" applyBorder="1" applyAlignment="1" applyProtection="1">
      <alignment horizontal="center" vertical="center" wrapText="1"/>
      <protection locked="0"/>
    </xf>
    <xf numFmtId="0" fontId="15" fillId="0" borderId="32" xfId="50" applyFont="1" applyFill="1" applyBorder="1" applyAlignment="1" applyProtection="1">
      <alignment horizontal="center" vertical="center" wrapText="1"/>
      <protection locked="0"/>
    </xf>
    <xf numFmtId="0" fontId="15" fillId="0" borderId="25" xfId="50" applyFont="1" applyFill="1" applyBorder="1" applyProtection="1">
      <alignment/>
      <protection locked="0"/>
    </xf>
    <xf numFmtId="0" fontId="13" fillId="0" borderId="26" xfId="50" applyBorder="1" applyAlignment="1">
      <alignment horizontal="center"/>
      <protection/>
    </xf>
    <xf numFmtId="0" fontId="13" fillId="0" borderId="27" xfId="50" applyBorder="1">
      <alignment/>
      <protection/>
    </xf>
    <xf numFmtId="0" fontId="15" fillId="0" borderId="14" xfId="50" applyFont="1" applyFill="1" applyBorder="1" applyProtection="1">
      <alignment/>
      <protection locked="0"/>
    </xf>
    <xf numFmtId="0" fontId="15" fillId="0" borderId="11" xfId="50" applyFont="1" applyFill="1" applyBorder="1" applyProtection="1">
      <alignment/>
      <protection locked="0"/>
    </xf>
    <xf numFmtId="13" fontId="0" fillId="0" borderId="0" xfId="0" applyNumberFormat="1" applyBorder="1" applyAlignment="1">
      <alignment/>
    </xf>
    <xf numFmtId="13" fontId="0" fillId="0" borderId="0" xfId="0" applyNumberFormat="1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left"/>
    </xf>
    <xf numFmtId="13" fontId="0" fillId="42" borderId="0" xfId="0" applyNumberFormat="1" applyFill="1" applyBorder="1" applyAlignment="1">
      <alignment/>
    </xf>
    <xf numFmtId="0" fontId="0" fillId="42" borderId="0" xfId="0" applyFill="1" applyBorder="1" applyAlignment="1">
      <alignment horizontal="right"/>
    </xf>
    <xf numFmtId="0" fontId="0" fillId="42" borderId="0" xfId="0" applyNumberFormat="1" applyFont="1" applyFill="1" applyBorder="1" applyAlignment="1" applyProtection="1">
      <alignment vertical="top"/>
      <protection/>
    </xf>
    <xf numFmtId="0" fontId="0" fillId="42" borderId="0" xfId="0" applyFill="1" applyAlignment="1">
      <alignment horizontal="center" wrapText="1"/>
    </xf>
    <xf numFmtId="0" fontId="0" fillId="42" borderId="0" xfId="0" applyFill="1" applyAlignment="1">
      <alignment wrapText="1"/>
    </xf>
    <xf numFmtId="0" fontId="13" fillId="0" borderId="15" xfId="50" applyFill="1" applyBorder="1" applyAlignment="1">
      <alignment horizontal="center" vertical="center"/>
      <protection/>
    </xf>
    <xf numFmtId="0" fontId="13" fillId="0" borderId="0" xfId="50" applyFill="1" applyAlignment="1">
      <alignment horizontal="center" vertical="center"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3" fillId="0" borderId="0" xfId="50" applyFill="1" applyAlignment="1">
      <alignment horizontal="left" vertical="center"/>
      <protection/>
    </xf>
    <xf numFmtId="0" fontId="13" fillId="0" borderId="0" xfId="50" applyFont="1" applyFill="1">
      <alignment/>
      <protection/>
    </xf>
    <xf numFmtId="188" fontId="13" fillId="0" borderId="12" xfId="50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3" fillId="0" borderId="0" xfId="50" applyFont="1" applyFill="1" applyAlignment="1">
      <alignment horizontal="center"/>
      <protection/>
    </xf>
    <xf numFmtId="1" fontId="13" fillId="0" borderId="0" xfId="50" applyNumberFormat="1" applyFont="1" applyFill="1" applyAlignment="1">
      <alignment horizontal="center"/>
      <protection/>
    </xf>
    <xf numFmtId="194" fontId="13" fillId="0" borderId="10" xfId="50" applyNumberFormat="1" applyFill="1" applyBorder="1" applyAlignment="1">
      <alignment horizontal="center"/>
      <protection/>
    </xf>
    <xf numFmtId="0" fontId="13" fillId="41" borderId="26" xfId="50" applyFill="1" applyBorder="1" applyAlignment="1" applyProtection="1">
      <alignment horizontal="center"/>
      <protection locked="0"/>
    </xf>
    <xf numFmtId="1" fontId="13" fillId="41" borderId="26" xfId="50" applyNumberFormat="1" applyFill="1" applyBorder="1" applyAlignment="1" applyProtection="1">
      <alignment horizontal="center"/>
      <protection locked="0"/>
    </xf>
    <xf numFmtId="194" fontId="13" fillId="0" borderId="26" xfId="50" applyNumberFormat="1" applyFill="1" applyBorder="1" applyAlignment="1">
      <alignment horizontal="center"/>
      <protection/>
    </xf>
    <xf numFmtId="195" fontId="13" fillId="0" borderId="26" xfId="50" applyNumberFormat="1" applyFill="1" applyBorder="1" applyAlignment="1">
      <alignment horizontal="center"/>
      <protection/>
    </xf>
    <xf numFmtId="0" fontId="13" fillId="0" borderId="26" xfId="50" applyFill="1" applyBorder="1" applyAlignment="1">
      <alignment horizontal="center"/>
      <protection/>
    </xf>
    <xf numFmtId="188" fontId="13" fillId="0" borderId="26" xfId="50" applyNumberFormat="1" applyFill="1" applyBorder="1" applyAlignment="1">
      <alignment horizontal="center"/>
      <protection/>
    </xf>
    <xf numFmtId="0" fontId="13" fillId="0" borderId="31" xfId="50" applyFill="1" applyBorder="1" applyAlignment="1">
      <alignment horizontal="center" vertical="center"/>
      <protection/>
    </xf>
    <xf numFmtId="188" fontId="13" fillId="0" borderId="31" xfId="50" applyNumberFormat="1" applyFill="1" applyBorder="1" applyAlignment="1">
      <alignment horizontal="center" vertical="center"/>
      <protection/>
    </xf>
    <xf numFmtId="0" fontId="13" fillId="0" borderId="12" xfId="50" applyFont="1" applyFill="1" applyBorder="1" applyAlignment="1">
      <alignment horizontal="center" vertical="center" wrapText="1"/>
      <protection/>
    </xf>
    <xf numFmtId="0" fontId="0" fillId="43" borderId="0" xfId="49" applyFill="1">
      <alignment/>
      <protection/>
    </xf>
    <xf numFmtId="0" fontId="18" fillId="43" borderId="13" xfId="49" applyFont="1" applyFill="1" applyBorder="1" applyAlignment="1">
      <alignment horizontal="center" vertical="center" wrapText="1"/>
      <protection/>
    </xf>
    <xf numFmtId="0" fontId="18" fillId="43" borderId="0" xfId="49" applyFont="1" applyFill="1" applyBorder="1" applyAlignment="1">
      <alignment horizontal="center" vertical="center" wrapText="1"/>
      <protection/>
    </xf>
    <xf numFmtId="0" fontId="18" fillId="43" borderId="10" xfId="49" applyFont="1" applyFill="1" applyBorder="1" applyAlignment="1">
      <alignment horizontal="center" vertical="center" wrapText="1"/>
      <protection/>
    </xf>
    <xf numFmtId="0" fontId="18" fillId="43" borderId="14" xfId="49" applyFont="1" applyFill="1" applyBorder="1" applyAlignment="1">
      <alignment horizontal="center" vertical="center" wrapText="1"/>
      <protection/>
    </xf>
    <xf numFmtId="186" fontId="18" fillId="43" borderId="23" xfId="49" applyNumberFormat="1" applyFont="1" applyFill="1" applyBorder="1" applyAlignment="1">
      <alignment horizontal="center" vertical="center" wrapText="1"/>
      <protection/>
    </xf>
    <xf numFmtId="1" fontId="18" fillId="43" borderId="33" xfId="49" applyNumberFormat="1" applyFont="1" applyFill="1" applyBorder="1" applyAlignment="1">
      <alignment vertical="center" wrapText="1"/>
      <protection/>
    </xf>
    <xf numFmtId="186" fontId="18" fillId="43" borderId="10" xfId="49" applyNumberFormat="1" applyFont="1" applyFill="1" applyBorder="1" applyAlignment="1">
      <alignment vertical="center" wrapText="1"/>
      <protection/>
    </xf>
    <xf numFmtId="0" fontId="18" fillId="43" borderId="14" xfId="49" applyFont="1" applyFill="1" applyBorder="1" applyAlignment="1">
      <alignment vertical="center" wrapText="1"/>
      <protection/>
    </xf>
    <xf numFmtId="2" fontId="19" fillId="43" borderId="23" xfId="49" applyNumberFormat="1" applyFont="1" applyFill="1" applyBorder="1" applyAlignment="1">
      <alignment horizontal="center" vertical="center"/>
      <protection/>
    </xf>
    <xf numFmtId="3" fontId="18" fillId="43" borderId="23" xfId="49" applyNumberFormat="1" applyFont="1" applyFill="1" applyBorder="1" applyAlignment="1">
      <alignment horizontal="center" vertical="center" wrapText="1"/>
      <protection/>
    </xf>
    <xf numFmtId="0" fontId="19" fillId="43" borderId="0" xfId="49" applyFont="1" applyFill="1">
      <alignment/>
      <protection/>
    </xf>
    <xf numFmtId="0" fontId="18" fillId="43" borderId="34" xfId="49" applyFont="1" applyFill="1" applyBorder="1" applyAlignment="1">
      <alignment horizontal="center" vertical="center" wrapText="1"/>
      <protection/>
    </xf>
    <xf numFmtId="186" fontId="18" fillId="43" borderId="35" xfId="49" applyNumberFormat="1" applyFont="1" applyFill="1" applyBorder="1" applyAlignment="1">
      <alignment horizontal="center" vertical="center" wrapText="1"/>
      <protection/>
    </xf>
    <xf numFmtId="0" fontId="18" fillId="43" borderId="30" xfId="49" applyFont="1" applyFill="1" applyBorder="1" applyAlignment="1">
      <alignment horizontal="center" vertical="center" wrapText="1"/>
      <protection/>
    </xf>
    <xf numFmtId="1" fontId="18" fillId="43" borderId="36" xfId="49" applyNumberFormat="1" applyFont="1" applyFill="1" applyBorder="1" applyAlignment="1">
      <alignment horizontal="center" vertical="center" wrapText="1"/>
      <protection/>
    </xf>
    <xf numFmtId="1" fontId="18" fillId="43" borderId="37" xfId="49" applyNumberFormat="1" applyFont="1" applyFill="1" applyBorder="1" applyAlignment="1">
      <alignment horizontal="center" vertical="center" wrapText="1"/>
      <protection/>
    </xf>
    <xf numFmtId="0" fontId="19" fillId="43" borderId="0" xfId="49" applyFont="1" applyFill="1" applyBorder="1">
      <alignment/>
      <protection/>
    </xf>
    <xf numFmtId="0" fontId="14" fillId="43" borderId="0" xfId="49" applyFont="1" applyFill="1" applyAlignment="1">
      <alignment horizontal="center" vertical="center" wrapText="1"/>
      <protection/>
    </xf>
    <xf numFmtId="0" fontId="18" fillId="43" borderId="32" xfId="49" applyFont="1" applyFill="1" applyBorder="1" applyAlignment="1">
      <alignment horizontal="center" vertical="center" wrapText="1"/>
      <protection/>
    </xf>
    <xf numFmtId="1" fontId="18" fillId="43" borderId="32" xfId="49" applyNumberFormat="1" applyFont="1" applyFill="1" applyBorder="1" applyAlignment="1">
      <alignment horizontal="center" vertical="center" wrapText="1"/>
      <protection/>
    </xf>
    <xf numFmtId="0" fontId="18" fillId="43" borderId="0" xfId="49" applyFont="1" applyFill="1" applyBorder="1" applyAlignment="1">
      <alignment vertical="center" wrapText="1"/>
      <protection/>
    </xf>
    <xf numFmtId="0" fontId="2" fillId="43" borderId="0" xfId="49" applyFont="1" applyFill="1">
      <alignment/>
      <protection/>
    </xf>
    <xf numFmtId="0" fontId="0" fillId="43" borderId="0" xfId="49" applyFill="1" applyAlignment="1">
      <alignment horizontal="center"/>
      <protection/>
    </xf>
    <xf numFmtId="0" fontId="28" fillId="43" borderId="10" xfId="0" applyNumberFormat="1" applyFont="1" applyFill="1" applyBorder="1" applyAlignment="1" applyProtection="1">
      <alignment vertical="top"/>
      <protection/>
    </xf>
    <xf numFmtId="0" fontId="0" fillId="43" borderId="10" xfId="49" applyFill="1" applyBorder="1">
      <alignment/>
      <protection/>
    </xf>
    <xf numFmtId="0" fontId="2" fillId="43" borderId="13" xfId="49" applyFont="1" applyFill="1" applyBorder="1">
      <alignment/>
      <protection/>
    </xf>
    <xf numFmtId="0" fontId="2" fillId="43" borderId="22" xfId="49" applyFont="1" applyFill="1" applyBorder="1" applyAlignment="1">
      <alignment horizontal="center"/>
      <protection/>
    </xf>
    <xf numFmtId="0" fontId="28" fillId="43" borderId="10" xfId="0" applyNumberFormat="1" applyFont="1" applyFill="1" applyBorder="1" applyAlignment="1" applyProtection="1">
      <alignment vertical="top" wrapText="1"/>
      <protection/>
    </xf>
    <xf numFmtId="0" fontId="2" fillId="43" borderId="14" xfId="49" applyFont="1" applyFill="1" applyBorder="1">
      <alignment/>
      <protection/>
    </xf>
    <xf numFmtId="186" fontId="2" fillId="43" borderId="23" xfId="49" applyNumberFormat="1" applyFont="1" applyFill="1" applyBorder="1" applyAlignment="1">
      <alignment horizontal="center"/>
      <protection/>
    </xf>
    <xf numFmtId="0" fontId="2" fillId="43" borderId="11" xfId="49" applyFont="1" applyFill="1" applyBorder="1">
      <alignment/>
      <protection/>
    </xf>
    <xf numFmtId="0" fontId="14" fillId="43" borderId="10" xfId="49" applyFont="1" applyFill="1" applyBorder="1" applyAlignment="1">
      <alignment horizontal="left" vertical="center" wrapText="1"/>
      <protection/>
    </xf>
    <xf numFmtId="0" fontId="14" fillId="43" borderId="10" xfId="49" applyFont="1" applyFill="1" applyBorder="1" applyAlignment="1">
      <alignment horizontal="center" vertical="center" wrapText="1"/>
      <protection/>
    </xf>
    <xf numFmtId="186" fontId="14" fillId="43" borderId="10" xfId="49" applyNumberFormat="1" applyFont="1" applyFill="1" applyBorder="1" applyAlignment="1">
      <alignment horizontal="center" vertical="center" wrapText="1"/>
      <protection/>
    </xf>
    <xf numFmtId="2" fontId="14" fillId="43" borderId="10" xfId="49" applyNumberFormat="1" applyFont="1" applyFill="1" applyBorder="1" applyAlignment="1">
      <alignment horizontal="center" vertical="center" wrapText="1"/>
      <protection/>
    </xf>
    <xf numFmtId="0" fontId="30" fillId="43" borderId="10" xfId="0" applyNumberFormat="1" applyFont="1" applyFill="1" applyBorder="1" applyAlignment="1" applyProtection="1">
      <alignment vertical="top" wrapText="1"/>
      <protection/>
    </xf>
    <xf numFmtId="214" fontId="14" fillId="43" borderId="10" xfId="49" applyNumberFormat="1" applyFont="1" applyFill="1" applyBorder="1" applyAlignment="1">
      <alignment horizontal="left" vertical="center" wrapText="1"/>
      <protection/>
    </xf>
    <xf numFmtId="2" fontId="19" fillId="34" borderId="23" xfId="49" applyNumberFormat="1" applyFont="1" applyFill="1" applyBorder="1" applyAlignment="1" applyProtection="1">
      <alignment horizontal="center" vertical="center" wrapText="1"/>
      <protection locked="0"/>
    </xf>
    <xf numFmtId="3" fontId="18" fillId="34" borderId="22" xfId="49" applyNumberFormat="1" applyFont="1" applyFill="1" applyBorder="1" applyAlignment="1" applyProtection="1">
      <alignment horizontal="center" vertical="center" wrapText="1"/>
      <protection locked="0"/>
    </xf>
    <xf numFmtId="0" fontId="2" fillId="34" borderId="24" xfId="49" applyFont="1" applyFill="1" applyBorder="1" applyAlignment="1">
      <alignment horizontal="center"/>
      <protection/>
    </xf>
    <xf numFmtId="0" fontId="14" fillId="34" borderId="10" xfId="49" applyFont="1" applyFill="1" applyBorder="1" applyAlignment="1">
      <alignment horizontal="center" vertical="center" wrapText="1"/>
      <protection/>
    </xf>
    <xf numFmtId="0" fontId="18" fillId="34" borderId="33" xfId="49" applyFont="1" applyFill="1" applyBorder="1" applyAlignment="1">
      <alignment vertical="center" wrapText="1"/>
      <protection/>
    </xf>
    <xf numFmtId="0" fontId="31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44" borderId="0" xfId="0" applyNumberFormat="1" applyFont="1" applyFill="1" applyBorder="1" applyAlignment="1" applyProtection="1">
      <alignment vertical="top"/>
      <protection/>
    </xf>
    <xf numFmtId="0" fontId="0" fillId="44" borderId="0" xfId="0" applyNumberFormat="1" applyFont="1" applyFill="1" applyBorder="1" applyAlignment="1" applyProtection="1">
      <alignment wrapText="1"/>
      <protection/>
    </xf>
    <xf numFmtId="0" fontId="31" fillId="44" borderId="0" xfId="0" applyFont="1" applyFill="1" applyBorder="1" applyAlignment="1">
      <alignment horizontal="right" vertical="center" wrapText="1"/>
    </xf>
    <xf numFmtId="0" fontId="0" fillId="45" borderId="0" xfId="0" applyFont="1" applyFill="1" applyAlignment="1" applyProtection="1">
      <alignment/>
      <protection hidden="1"/>
    </xf>
    <xf numFmtId="194" fontId="0" fillId="45" borderId="0" xfId="0" applyNumberFormat="1" applyFont="1" applyFill="1" applyBorder="1" applyAlignment="1" applyProtection="1">
      <alignment horizontal="center"/>
      <protection hidden="1"/>
    </xf>
    <xf numFmtId="0" fontId="0" fillId="45" borderId="0" xfId="0" applyFill="1" applyAlignment="1" applyProtection="1">
      <alignment/>
      <protection hidden="1"/>
    </xf>
    <xf numFmtId="0" fontId="1" fillId="45" borderId="0" xfId="0" applyFont="1" applyFill="1" applyAlignment="1" applyProtection="1">
      <alignment/>
      <protection hidden="1"/>
    </xf>
    <xf numFmtId="0" fontId="0" fillId="45" borderId="10" xfId="0" applyNumberFormat="1" applyFont="1" applyFill="1" applyBorder="1" applyAlignment="1" applyProtection="1">
      <alignment horizontal="center" vertical="center"/>
      <protection hidden="1"/>
    </xf>
    <xf numFmtId="194" fontId="0" fillId="45" borderId="38" xfId="0" applyNumberFormat="1" applyFont="1" applyFill="1" applyBorder="1" applyAlignment="1" applyProtection="1">
      <alignment horizontal="center"/>
      <protection hidden="1"/>
    </xf>
    <xf numFmtId="0" fontId="0" fillId="45" borderId="0" xfId="0" applyFont="1" applyFill="1" applyAlignment="1" applyProtection="1">
      <alignment horizontal="center" vertical="center"/>
      <protection hidden="1"/>
    </xf>
    <xf numFmtId="0" fontId="2" fillId="45" borderId="10" xfId="0" applyNumberFormat="1" applyFont="1" applyFill="1" applyBorder="1" applyAlignment="1" applyProtection="1">
      <alignment horizontal="center" vertical="center" wrapText="1"/>
      <protection hidden="1"/>
    </xf>
    <xf numFmtId="194" fontId="0" fillId="4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45" borderId="10" xfId="0" applyFont="1" applyFill="1" applyBorder="1" applyAlignment="1" applyProtection="1">
      <alignment vertical="center"/>
      <protection hidden="1"/>
    </xf>
    <xf numFmtId="2" fontId="0" fillId="45" borderId="10" xfId="0" applyNumberFormat="1" applyFont="1" applyFill="1" applyBorder="1" applyAlignment="1" applyProtection="1">
      <alignment vertical="center"/>
      <protection hidden="1" locked="0"/>
    </xf>
    <xf numFmtId="0" fontId="9" fillId="45" borderId="10" xfId="0" applyNumberFormat="1" applyFont="1" applyFill="1" applyBorder="1" applyAlignment="1" applyProtection="1">
      <alignment horizontal="center" vertical="center"/>
      <protection hidden="1" locked="0"/>
    </xf>
    <xf numFmtId="187" fontId="0" fillId="45" borderId="10" xfId="0" applyNumberFormat="1" applyFont="1" applyFill="1" applyBorder="1" applyAlignment="1" applyProtection="1">
      <alignment horizontal="right" vertical="center"/>
      <protection hidden="1"/>
    </xf>
    <xf numFmtId="194" fontId="9" fillId="45" borderId="10" xfId="0" applyNumberFormat="1" applyFont="1" applyFill="1" applyBorder="1" applyAlignment="1" applyProtection="1">
      <alignment vertical="center"/>
      <protection hidden="1"/>
    </xf>
    <xf numFmtId="194" fontId="0" fillId="45" borderId="10" xfId="0" applyNumberFormat="1" applyFont="1" applyFill="1" applyBorder="1" applyAlignment="1" applyProtection="1">
      <alignment vertical="center"/>
      <protection hidden="1"/>
    </xf>
    <xf numFmtId="188" fontId="0" fillId="45" borderId="10" xfId="0" applyNumberFormat="1" applyFont="1" applyFill="1" applyBorder="1" applyAlignment="1" applyProtection="1">
      <alignment vertical="center"/>
      <protection hidden="1"/>
    </xf>
    <xf numFmtId="187" fontId="0" fillId="45" borderId="10" xfId="0" applyNumberFormat="1" applyFont="1" applyFill="1" applyBorder="1" applyAlignment="1" applyProtection="1">
      <alignment vertical="center"/>
      <protection hidden="1"/>
    </xf>
    <xf numFmtId="0" fontId="2" fillId="45" borderId="0" xfId="0" applyNumberFormat="1" applyFont="1" applyFill="1" applyBorder="1" applyAlignment="1" applyProtection="1">
      <alignment horizontal="right" vertical="top"/>
      <protection hidden="1"/>
    </xf>
    <xf numFmtId="194" fontId="9" fillId="45" borderId="10" xfId="0" applyNumberFormat="1" applyFont="1" applyFill="1" applyBorder="1" applyAlignment="1" applyProtection="1">
      <alignment vertical="top"/>
      <protection hidden="1"/>
    </xf>
    <xf numFmtId="0" fontId="2" fillId="45" borderId="39" xfId="0" applyFont="1" applyFill="1" applyBorder="1" applyAlignment="1" applyProtection="1">
      <alignment/>
      <protection hidden="1"/>
    </xf>
    <xf numFmtId="0" fontId="0" fillId="45" borderId="40" xfId="0" applyNumberFormat="1" applyFont="1" applyFill="1" applyBorder="1" applyAlignment="1" applyProtection="1">
      <alignment horizontal="center" vertical="top"/>
      <protection hidden="1"/>
    </xf>
    <xf numFmtId="0" fontId="0" fillId="45" borderId="41" xfId="0" applyFill="1" applyBorder="1" applyAlignment="1" applyProtection="1">
      <alignment/>
      <protection hidden="1"/>
    </xf>
    <xf numFmtId="0" fontId="0" fillId="45" borderId="42" xfId="0" applyFont="1" applyFill="1" applyBorder="1" applyAlignment="1" applyProtection="1">
      <alignment/>
      <protection hidden="1"/>
    </xf>
    <xf numFmtId="1" fontId="0" fillId="45" borderId="14" xfId="0" applyNumberFormat="1" applyFont="1" applyFill="1" applyBorder="1" applyAlignment="1" applyProtection="1">
      <alignment horizontal="center" vertical="center"/>
      <protection hidden="1" locked="0"/>
    </xf>
    <xf numFmtId="1" fontId="0" fillId="45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45" borderId="26" xfId="0" applyFont="1" applyFill="1" applyBorder="1" applyAlignment="1" applyProtection="1">
      <alignment horizontal="left"/>
      <protection hidden="1"/>
    </xf>
    <xf numFmtId="0" fontId="0" fillId="45" borderId="26" xfId="0" applyFill="1" applyBorder="1" applyAlignment="1" applyProtection="1">
      <alignment/>
      <protection hidden="1" locked="0"/>
    </xf>
    <xf numFmtId="0" fontId="0" fillId="45" borderId="43" xfId="0" applyFill="1" applyBorder="1" applyAlignment="1" applyProtection="1">
      <alignment/>
      <protection hidden="1" locked="0"/>
    </xf>
    <xf numFmtId="0" fontId="0" fillId="45" borderId="10" xfId="0" applyFill="1" applyBorder="1" applyAlignment="1" applyProtection="1">
      <alignment/>
      <protection hidden="1" locked="0"/>
    </xf>
    <xf numFmtId="0" fontId="2" fillId="45" borderId="10" xfId="49" applyFont="1" applyFill="1" applyBorder="1" applyAlignment="1" applyProtection="1">
      <alignment horizontal="left" vertical="center" wrapText="1"/>
      <protection hidden="1"/>
    </xf>
    <xf numFmtId="0" fontId="0" fillId="45" borderId="10" xfId="0" applyFill="1" applyBorder="1" applyAlignment="1" applyProtection="1">
      <alignment/>
      <protection hidden="1"/>
    </xf>
    <xf numFmtId="0" fontId="11" fillId="45" borderId="30" xfId="0" applyFont="1" applyFill="1" applyBorder="1" applyAlignment="1" applyProtection="1">
      <alignment horizontal="left"/>
      <protection hidden="1"/>
    </xf>
    <xf numFmtId="0" fontId="11" fillId="45" borderId="31" xfId="0" applyFont="1" applyFill="1" applyBorder="1" applyAlignment="1" applyProtection="1">
      <alignment horizontal="left"/>
      <protection hidden="1"/>
    </xf>
    <xf numFmtId="0" fontId="11" fillId="45" borderId="39" xfId="0" applyFont="1" applyFill="1" applyBorder="1" applyAlignment="1" applyProtection="1">
      <alignment horizontal="left"/>
      <protection hidden="1"/>
    </xf>
    <xf numFmtId="0" fontId="0" fillId="45" borderId="40" xfId="0" applyFill="1" applyBorder="1" applyAlignment="1" applyProtection="1">
      <alignment/>
      <protection hidden="1"/>
    </xf>
    <xf numFmtId="0" fontId="0" fillId="45" borderId="42" xfId="0" applyFill="1" applyBorder="1" applyAlignment="1" applyProtection="1">
      <alignment/>
      <protection hidden="1"/>
    </xf>
    <xf numFmtId="187" fontId="0" fillId="45" borderId="0" xfId="0" applyNumberFormat="1" applyFont="1" applyFill="1" applyAlignment="1" applyProtection="1">
      <alignment/>
      <protection hidden="1"/>
    </xf>
    <xf numFmtId="194" fontId="0" fillId="45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Fill="1" applyBorder="1" applyAlignment="1" applyProtection="1">
      <alignment horizontal="right" vertical="top"/>
      <protection locked="0"/>
    </xf>
    <xf numFmtId="187" fontId="2" fillId="0" borderId="0" xfId="0" applyNumberFormat="1" applyFont="1" applyFill="1" applyBorder="1" applyAlignment="1" applyProtection="1">
      <alignment horizontal="right" vertical="center" wrapText="1"/>
      <protection/>
    </xf>
    <xf numFmtId="194" fontId="0" fillId="4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45" borderId="44" xfId="0" applyNumberFormat="1" applyFont="1" applyFill="1" applyBorder="1" applyAlignment="1" applyProtection="1">
      <alignment horizontal="center" vertical="center"/>
      <protection hidden="1"/>
    </xf>
    <xf numFmtId="0" fontId="0" fillId="45" borderId="45" xfId="0" applyNumberFormat="1" applyFont="1" applyFill="1" applyBorder="1" applyAlignment="1" applyProtection="1">
      <alignment horizontal="center" vertical="center"/>
      <protection hidden="1"/>
    </xf>
    <xf numFmtId="0" fontId="2" fillId="45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45" borderId="23" xfId="0" applyNumberFormat="1" applyFont="1" applyFill="1" applyBorder="1" applyAlignment="1" applyProtection="1">
      <alignment horizontal="center" vertical="center" wrapText="1"/>
      <protection hidden="1"/>
    </xf>
    <xf numFmtId="186" fontId="0" fillId="45" borderId="14" xfId="0" applyNumberFormat="1" applyFont="1" applyFill="1" applyBorder="1" applyAlignment="1" applyProtection="1">
      <alignment horizontal="center" vertical="center" wrapText="1"/>
      <protection hidden="1"/>
    </xf>
    <xf numFmtId="186" fontId="0" fillId="45" borderId="10" xfId="0" applyNumberFormat="1" applyFont="1" applyFill="1" applyBorder="1" applyAlignment="1" applyProtection="1">
      <alignment horizontal="center" vertical="center" wrapText="1"/>
      <protection hidden="1"/>
    </xf>
    <xf numFmtId="186" fontId="0" fillId="45" borderId="23" xfId="0" applyNumberFormat="1" applyFont="1" applyFill="1" applyBorder="1" applyAlignment="1" applyProtection="1">
      <alignment horizontal="center" vertical="center" wrapText="1"/>
      <protection hidden="1"/>
    </xf>
    <xf numFmtId="2" fontId="0" fillId="45" borderId="45" xfId="0" applyNumberFormat="1" applyFont="1" applyFill="1" applyBorder="1" applyAlignment="1" applyProtection="1">
      <alignment vertical="center"/>
      <protection hidden="1"/>
    </xf>
    <xf numFmtId="1" fontId="0" fillId="45" borderId="23" xfId="0" applyNumberFormat="1" applyFont="1" applyFill="1" applyBorder="1" applyAlignment="1" applyProtection="1">
      <alignment horizontal="center" vertical="center"/>
      <protection hidden="1" locked="0"/>
    </xf>
    <xf numFmtId="1" fontId="34" fillId="0" borderId="10" xfId="0" applyNumberFormat="1" applyFont="1" applyFill="1" applyBorder="1" applyAlignment="1" applyProtection="1">
      <alignment horizontal="right" vertical="top"/>
      <protection/>
    </xf>
    <xf numFmtId="195" fontId="34" fillId="0" borderId="10" xfId="0" applyNumberFormat="1" applyFont="1" applyFill="1" applyBorder="1" applyAlignment="1" applyProtection="1">
      <alignment horizontal="right" vertical="top"/>
      <protection/>
    </xf>
    <xf numFmtId="2" fontId="34" fillId="0" borderId="10" xfId="0" applyNumberFormat="1" applyFont="1" applyFill="1" applyBorder="1" applyAlignment="1" applyProtection="1">
      <alignment horizontal="right" vertical="top"/>
      <protection/>
    </xf>
    <xf numFmtId="195" fontId="34" fillId="0" borderId="0" xfId="0" applyNumberFormat="1" applyFont="1" applyFill="1" applyBorder="1" applyAlignment="1" applyProtection="1">
      <alignment horizontal="right" vertical="top"/>
      <protection/>
    </xf>
    <xf numFmtId="2" fontId="34" fillId="0" borderId="0" xfId="0" applyNumberFormat="1" applyFont="1" applyFill="1" applyBorder="1" applyAlignment="1" applyProtection="1">
      <alignment horizontal="right" vertical="top"/>
      <protection/>
    </xf>
    <xf numFmtId="0" fontId="0" fillId="45" borderId="0" xfId="0" applyFont="1" applyFill="1" applyAlignment="1" applyProtection="1">
      <alignment/>
      <protection hidden="1" locked="0"/>
    </xf>
    <xf numFmtId="0" fontId="34" fillId="0" borderId="44" xfId="0" applyNumberFormat="1" applyFont="1" applyFill="1" applyBorder="1" applyAlignment="1" applyProtection="1">
      <alignment horizontal="right" vertical="top"/>
      <protection/>
    </xf>
    <xf numFmtId="195" fontId="34" fillId="0" borderId="46" xfId="0" applyNumberFormat="1" applyFont="1" applyFill="1" applyBorder="1" applyAlignment="1" applyProtection="1">
      <alignment horizontal="right" vertical="top"/>
      <protection/>
    </xf>
    <xf numFmtId="2" fontId="34" fillId="0" borderId="45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right" vertical="top"/>
      <protection/>
    </xf>
    <xf numFmtId="0" fontId="34" fillId="0" borderId="10" xfId="0" applyNumberFormat="1" applyFont="1" applyFill="1" applyBorder="1" applyAlignment="1" applyProtection="1">
      <alignment horizontal="right" vertical="top"/>
      <protection/>
    </xf>
    <xf numFmtId="0" fontId="34" fillId="0" borderId="10" xfId="0" applyNumberFormat="1" applyFont="1" applyFill="1" applyBorder="1" applyAlignment="1" applyProtection="1">
      <alignment horizontal="right" vertical="top"/>
      <protection locked="0"/>
    </xf>
    <xf numFmtId="195" fontId="34" fillId="0" borderId="10" xfId="0" applyNumberFormat="1" applyFont="1" applyFill="1" applyBorder="1" applyAlignment="1" applyProtection="1">
      <alignment horizontal="center" vertical="center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194" fontId="35" fillId="0" borderId="0" xfId="0" applyNumberFormat="1" applyFont="1" applyFill="1" applyBorder="1" applyAlignment="1" applyProtection="1">
      <alignment horizontal="right" vertical="top"/>
      <protection/>
    </xf>
    <xf numFmtId="2" fontId="34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right" vertical="top"/>
      <protection/>
    </xf>
    <xf numFmtId="195" fontId="34" fillId="0" borderId="0" xfId="0" applyNumberFormat="1" applyFont="1" applyFill="1" applyBorder="1" applyAlignment="1" applyProtection="1">
      <alignment horizontal="right" vertical="top"/>
      <protection/>
    </xf>
    <xf numFmtId="2" fontId="34" fillId="0" borderId="0" xfId="0" applyNumberFormat="1" applyFont="1" applyFill="1" applyBorder="1" applyAlignment="1" applyProtection="1">
      <alignment horizontal="right" vertical="top"/>
      <protection/>
    </xf>
    <xf numFmtId="2" fontId="3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textRotation="90"/>
      <protection/>
    </xf>
    <xf numFmtId="0" fontId="0" fillId="0" borderId="0" xfId="0" applyNumberFormat="1" applyFont="1" applyFill="1" applyBorder="1" applyAlignment="1" applyProtection="1">
      <alignment horizontal="center" textRotation="90" wrapText="1"/>
      <protection/>
    </xf>
    <xf numFmtId="0" fontId="0" fillId="44" borderId="0" xfId="0" applyNumberFormat="1" applyFont="1" applyFill="1" applyBorder="1" applyAlignment="1" applyProtection="1">
      <alignment/>
      <protection/>
    </xf>
    <xf numFmtId="2" fontId="0" fillId="45" borderId="10" xfId="0" applyNumberFormat="1" applyFont="1" applyFill="1" applyBorder="1" applyAlignment="1" applyProtection="1">
      <alignment vertical="center"/>
      <protection locked="0"/>
    </xf>
    <xf numFmtId="0" fontId="3" fillId="45" borderId="0" xfId="0" applyFont="1" applyFill="1" applyAlignment="1" applyProtection="1">
      <alignment/>
      <protection hidden="1"/>
    </xf>
    <xf numFmtId="0" fontId="2" fillId="45" borderId="46" xfId="49" applyFont="1" applyFill="1" applyBorder="1" applyAlignment="1" applyProtection="1">
      <alignment horizontal="left" vertical="center" wrapText="1"/>
      <protection hidden="1"/>
    </xf>
    <xf numFmtId="0" fontId="0" fillId="45" borderId="46" xfId="0" applyFill="1" applyBorder="1" applyAlignment="1" applyProtection="1">
      <alignment/>
      <protection hidden="1"/>
    </xf>
    <xf numFmtId="0" fontId="0" fillId="43" borderId="26" xfId="0" applyFill="1" applyBorder="1" applyAlignment="1" applyProtection="1">
      <alignment/>
      <protection hidden="1" locked="0"/>
    </xf>
    <xf numFmtId="0" fontId="0" fillId="43" borderId="43" xfId="0" applyFill="1" applyBorder="1" applyAlignment="1" applyProtection="1">
      <alignment/>
      <protection hidden="1" locked="0"/>
    </xf>
    <xf numFmtId="0" fontId="0" fillId="43" borderId="10" xfId="0" applyFill="1" applyBorder="1" applyAlignment="1" applyProtection="1">
      <alignment/>
      <protection hidden="1" locked="0"/>
    </xf>
    <xf numFmtId="0" fontId="0" fillId="43" borderId="0" xfId="0" applyFont="1" applyFill="1" applyAlignment="1" applyProtection="1">
      <alignment/>
      <protection hidden="1"/>
    </xf>
    <xf numFmtId="0" fontId="11" fillId="43" borderId="26" xfId="0" applyFont="1" applyFill="1" applyBorder="1" applyAlignment="1" applyProtection="1">
      <alignment horizontal="left"/>
      <protection hidden="1"/>
    </xf>
    <xf numFmtId="0" fontId="0" fillId="45" borderId="0" xfId="0" applyFont="1" applyFill="1" applyAlignment="1" applyProtection="1">
      <alignment horizontal="left"/>
      <protection hidden="1"/>
    </xf>
    <xf numFmtId="1" fontId="0" fillId="45" borderId="14" xfId="0" applyNumberFormat="1" applyFont="1" applyFill="1" applyBorder="1" applyAlignment="1" applyProtection="1">
      <alignment horizontal="center" vertical="center"/>
      <protection hidden="1" locked="0"/>
    </xf>
    <xf numFmtId="1" fontId="0" fillId="45" borderId="10" xfId="0" applyNumberFormat="1" applyFont="1" applyFill="1" applyBorder="1" applyAlignment="1" applyProtection="1">
      <alignment horizontal="center" vertical="center"/>
      <protection hidden="1" locked="0"/>
    </xf>
    <xf numFmtId="1" fontId="0" fillId="45" borderId="23" xfId="0" applyNumberFormat="1" applyFont="1" applyFill="1" applyBorder="1" applyAlignment="1" applyProtection="1">
      <alignment horizontal="center" vertical="center"/>
      <protection hidden="1" locked="0"/>
    </xf>
    <xf numFmtId="0" fontId="36" fillId="45" borderId="38" xfId="0" applyFont="1" applyFill="1" applyBorder="1" applyAlignment="1" applyProtection="1">
      <alignment horizontal="center"/>
      <protection hidden="1"/>
    </xf>
    <xf numFmtId="0" fontId="2" fillId="45" borderId="33" xfId="0" applyNumberFormat="1" applyFont="1" applyFill="1" applyBorder="1" applyAlignment="1" applyProtection="1">
      <alignment horizontal="center" vertical="center" wrapText="1"/>
      <protection hidden="1"/>
    </xf>
    <xf numFmtId="0" fontId="2" fillId="4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45" borderId="47" xfId="0" applyNumberFormat="1" applyFont="1" applyFill="1" applyBorder="1" applyAlignment="1" applyProtection="1">
      <alignment horizontal="center" vertical="center" wrapText="1"/>
      <protection hidden="1"/>
    </xf>
    <xf numFmtId="0" fontId="2" fillId="45" borderId="43" xfId="0" applyNumberFormat="1" applyFont="1" applyFill="1" applyBorder="1" applyAlignment="1" applyProtection="1">
      <alignment horizontal="center" vertical="center" wrapText="1"/>
      <protection hidden="1"/>
    </xf>
    <xf numFmtId="0" fontId="1" fillId="45" borderId="10" xfId="0" applyFont="1" applyFill="1" applyBorder="1" applyAlignment="1" applyProtection="1">
      <alignment horizontal="center" vertical="center" textRotation="90" wrapText="1"/>
      <protection hidden="1"/>
    </xf>
    <xf numFmtId="0" fontId="1" fillId="45" borderId="10" xfId="0" applyFont="1" applyFill="1" applyBorder="1" applyAlignment="1" applyProtection="1">
      <alignment horizontal="center" vertical="center" textRotation="90"/>
      <protection hidden="1"/>
    </xf>
    <xf numFmtId="0" fontId="2" fillId="45" borderId="44" xfId="0" applyNumberFormat="1" applyFont="1" applyFill="1" applyBorder="1" applyAlignment="1" applyProtection="1">
      <alignment horizontal="center"/>
      <protection hidden="1"/>
    </xf>
    <xf numFmtId="0" fontId="2" fillId="45" borderId="46" xfId="0" applyNumberFormat="1" applyFont="1" applyFill="1" applyBorder="1" applyAlignment="1" applyProtection="1">
      <alignment horizontal="center"/>
      <protection hidden="1"/>
    </xf>
    <xf numFmtId="0" fontId="2" fillId="45" borderId="45" xfId="0" applyNumberFormat="1" applyFont="1" applyFill="1" applyBorder="1" applyAlignment="1" applyProtection="1">
      <alignment horizontal="center"/>
      <protection hidden="1"/>
    </xf>
    <xf numFmtId="0" fontId="2" fillId="45" borderId="10" xfId="0" applyNumberFormat="1" applyFont="1" applyFill="1" applyBorder="1" applyAlignment="1" applyProtection="1">
      <alignment horizontal="center"/>
      <protection hidden="1"/>
    </xf>
    <xf numFmtId="0" fontId="2" fillId="45" borderId="19" xfId="0" applyNumberFormat="1" applyFont="1" applyFill="1" applyBorder="1" applyAlignment="1" applyProtection="1">
      <alignment horizontal="center"/>
      <protection hidden="1"/>
    </xf>
    <xf numFmtId="0" fontId="2" fillId="45" borderId="33" xfId="0" applyNumberFormat="1" applyFont="1" applyFill="1" applyBorder="1" applyAlignment="1" applyProtection="1">
      <alignment horizontal="center" vertical="top"/>
      <protection hidden="1"/>
    </xf>
    <xf numFmtId="0" fontId="2" fillId="45" borderId="26" xfId="0" applyNumberFormat="1" applyFont="1" applyFill="1" applyBorder="1" applyAlignment="1" applyProtection="1">
      <alignment horizontal="center" vertical="top"/>
      <protection hidden="1"/>
    </xf>
    <xf numFmtId="0" fontId="11" fillId="45" borderId="36" xfId="0" applyFont="1" applyFill="1" applyBorder="1" applyAlignment="1" applyProtection="1">
      <alignment horizontal="left"/>
      <protection hidden="1"/>
    </xf>
    <xf numFmtId="0" fontId="11" fillId="45" borderId="40" xfId="0" applyFont="1" applyFill="1" applyBorder="1" applyAlignment="1" applyProtection="1">
      <alignment horizontal="left"/>
      <protection hidden="1"/>
    </xf>
    <xf numFmtId="0" fontId="11" fillId="45" borderId="41" xfId="0" applyFont="1" applyFill="1" applyBorder="1" applyAlignment="1" applyProtection="1">
      <alignment horizontal="left"/>
      <protection hidden="1"/>
    </xf>
    <xf numFmtId="0" fontId="2" fillId="45" borderId="48" xfId="0" applyFont="1" applyFill="1" applyBorder="1" applyAlignment="1" applyProtection="1">
      <alignment horizontal="center" vertical="center" textRotation="90"/>
      <protection hidden="1"/>
    </xf>
    <xf numFmtId="0" fontId="1" fillId="45" borderId="23" xfId="0" applyFont="1" applyFill="1" applyBorder="1" applyAlignment="1" applyProtection="1">
      <alignment horizontal="center" vertical="center" textRotation="90" wrapText="1"/>
      <protection hidden="1"/>
    </xf>
    <xf numFmtId="0" fontId="2" fillId="45" borderId="49" xfId="0" applyNumberFormat="1" applyFont="1" applyFill="1" applyBorder="1" applyAlignment="1" applyProtection="1">
      <alignment horizontal="center" vertical="center" wrapText="1"/>
      <protection hidden="1"/>
    </xf>
    <xf numFmtId="0" fontId="2" fillId="45" borderId="50" xfId="0" applyNumberFormat="1" applyFont="1" applyFill="1" applyBorder="1" applyAlignment="1" applyProtection="1">
      <alignment horizontal="center" vertical="center" wrapText="1"/>
      <protection hidden="1"/>
    </xf>
    <xf numFmtId="0" fontId="1" fillId="45" borderId="14" xfId="0" applyFont="1" applyFill="1" applyBorder="1" applyAlignment="1" applyProtection="1">
      <alignment horizontal="center" vertical="center" textRotation="90"/>
      <protection hidden="1"/>
    </xf>
    <xf numFmtId="195" fontId="34" fillId="0" borderId="49" xfId="0" applyNumberFormat="1" applyFont="1" applyFill="1" applyBorder="1" applyAlignment="1" applyProtection="1">
      <alignment horizontal="center" wrapText="1"/>
      <protection/>
    </xf>
    <xf numFmtId="0" fontId="34" fillId="0" borderId="47" xfId="0" applyNumberFormat="1" applyFont="1" applyFill="1" applyBorder="1" applyAlignment="1" applyProtection="1">
      <alignment horizontal="center"/>
      <protection/>
    </xf>
    <xf numFmtId="195" fontId="34" fillId="0" borderId="50" xfId="0" applyNumberFormat="1" applyFont="1" applyFill="1" applyBorder="1" applyAlignment="1" applyProtection="1">
      <alignment horizontal="center"/>
      <protection/>
    </xf>
    <xf numFmtId="0" fontId="34" fillId="0" borderId="43" xfId="0" applyNumberFormat="1" applyFont="1" applyFill="1" applyBorder="1" applyAlignment="1" applyProtection="1">
      <alignment horizontal="center"/>
      <protection/>
    </xf>
    <xf numFmtId="0" fontId="34" fillId="0" borderId="46" xfId="0" applyNumberFormat="1" applyFont="1" applyFill="1" applyBorder="1" applyAlignment="1" applyProtection="1">
      <alignment horizontal="right" vertical="top"/>
      <protection/>
    </xf>
    <xf numFmtId="195" fontId="34" fillId="0" borderId="46" xfId="0" applyNumberFormat="1" applyFont="1" applyFill="1" applyBorder="1" applyAlignment="1" applyProtection="1">
      <alignment horizontal="right" vertical="top"/>
      <protection/>
    </xf>
    <xf numFmtId="0" fontId="34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26" xfId="0" applyNumberFormat="1" applyFont="1" applyFill="1" applyBorder="1" applyAlignment="1" applyProtection="1">
      <alignment horizontal="center" vertical="center" textRotation="90" wrapText="1"/>
      <protection/>
    </xf>
    <xf numFmtId="195" fontId="34" fillId="0" borderId="49" xfId="0" applyNumberFormat="1" applyFont="1" applyFill="1" applyBorder="1" applyAlignment="1" applyProtection="1">
      <alignment horizontal="right" vertical="center"/>
      <protection/>
    </xf>
    <xf numFmtId="0" fontId="34" fillId="0" borderId="47" xfId="0" applyNumberFormat="1" applyFont="1" applyFill="1" applyBorder="1" applyAlignment="1" applyProtection="1">
      <alignment horizontal="right" vertical="center"/>
      <protection/>
    </xf>
    <xf numFmtId="195" fontId="34" fillId="0" borderId="50" xfId="0" applyNumberFormat="1" applyFont="1" applyFill="1" applyBorder="1" applyAlignment="1" applyProtection="1">
      <alignment horizontal="right" vertical="center"/>
      <protection/>
    </xf>
    <xf numFmtId="0" fontId="34" fillId="0" borderId="43" xfId="0" applyNumberFormat="1" applyFont="1" applyFill="1" applyBorder="1" applyAlignment="1" applyProtection="1">
      <alignment horizontal="right" vertical="center"/>
      <protection/>
    </xf>
    <xf numFmtId="195" fontId="34" fillId="0" borderId="49" xfId="0" applyNumberFormat="1" applyFont="1" applyFill="1" applyBorder="1" applyAlignment="1" applyProtection="1">
      <alignment horizontal="center" vertical="center" wrapText="1"/>
      <protection/>
    </xf>
    <xf numFmtId="0" fontId="34" fillId="0" borderId="47" xfId="0" applyNumberFormat="1" applyFont="1" applyFill="1" applyBorder="1" applyAlignment="1" applyProtection="1">
      <alignment horizontal="center" vertical="center"/>
      <protection/>
    </xf>
    <xf numFmtId="195" fontId="34" fillId="0" borderId="50" xfId="0" applyNumberFormat="1" applyFont="1" applyFill="1" applyBorder="1" applyAlignment="1" applyProtection="1">
      <alignment horizontal="center" vertical="center"/>
      <protection/>
    </xf>
    <xf numFmtId="0" fontId="34" fillId="0" borderId="43" xfId="0" applyNumberFormat="1" applyFont="1" applyFill="1" applyBorder="1" applyAlignment="1" applyProtection="1">
      <alignment horizontal="center" vertical="center"/>
      <protection/>
    </xf>
    <xf numFmtId="195" fontId="34" fillId="0" borderId="49" xfId="0" applyNumberFormat="1" applyFont="1" applyFill="1" applyBorder="1" applyAlignment="1" applyProtection="1">
      <alignment horizontal="center" vertical="center"/>
      <protection/>
    </xf>
    <xf numFmtId="195" fontId="34" fillId="0" borderId="47" xfId="0" applyNumberFormat="1" applyFont="1" applyFill="1" applyBorder="1" applyAlignment="1" applyProtection="1">
      <alignment horizontal="center" vertical="center"/>
      <protection/>
    </xf>
    <xf numFmtId="195" fontId="34" fillId="0" borderId="43" xfId="0" applyNumberFormat="1" applyFont="1" applyFill="1" applyBorder="1" applyAlignment="1" applyProtection="1">
      <alignment horizontal="center" vertical="center"/>
      <protection/>
    </xf>
    <xf numFmtId="187" fontId="2" fillId="37" borderId="44" xfId="0" applyNumberFormat="1" applyFont="1" applyFill="1" applyBorder="1" applyAlignment="1" applyProtection="1">
      <alignment horizontal="center" vertical="center" wrapText="1"/>
      <protection/>
    </xf>
    <xf numFmtId="187" fontId="2" fillId="37" borderId="46" xfId="0" applyNumberFormat="1" applyFont="1" applyFill="1" applyBorder="1" applyAlignment="1" applyProtection="1">
      <alignment horizontal="center" vertical="center" wrapText="1"/>
      <protection/>
    </xf>
    <xf numFmtId="187" fontId="2" fillId="37" borderId="45" xfId="0" applyNumberFormat="1" applyFont="1" applyFill="1" applyBorder="1" applyAlignment="1" applyProtection="1">
      <alignment horizontal="center" vertical="center" wrapText="1"/>
      <protection/>
    </xf>
    <xf numFmtId="187" fontId="2" fillId="38" borderId="44" xfId="0" applyNumberFormat="1" applyFont="1" applyFill="1" applyBorder="1" applyAlignment="1" applyProtection="1">
      <alignment horizontal="center" vertical="center" wrapText="1"/>
      <protection/>
    </xf>
    <xf numFmtId="187" fontId="2" fillId="38" borderId="46" xfId="0" applyNumberFormat="1" applyFont="1" applyFill="1" applyBorder="1" applyAlignment="1" applyProtection="1">
      <alignment horizontal="center" vertical="center" wrapText="1"/>
      <protection/>
    </xf>
    <xf numFmtId="187" fontId="2" fillId="38" borderId="45" xfId="0" applyNumberFormat="1" applyFont="1" applyFill="1" applyBorder="1" applyAlignment="1" applyProtection="1">
      <alignment horizontal="center" vertical="center" wrapText="1"/>
      <protection/>
    </xf>
    <xf numFmtId="187" fontId="2" fillId="39" borderId="44" xfId="0" applyNumberFormat="1" applyFont="1" applyFill="1" applyBorder="1" applyAlignment="1" applyProtection="1">
      <alignment horizontal="center" vertical="center" wrapText="1"/>
      <protection/>
    </xf>
    <xf numFmtId="187" fontId="2" fillId="39" borderId="46" xfId="0" applyNumberFormat="1" applyFont="1" applyFill="1" applyBorder="1" applyAlignment="1" applyProtection="1">
      <alignment horizontal="center" vertical="center" wrapText="1"/>
      <protection/>
    </xf>
    <xf numFmtId="187" fontId="2" fillId="39" borderId="45" xfId="0" applyNumberFormat="1" applyFont="1" applyFill="1" applyBorder="1" applyAlignment="1" applyProtection="1">
      <alignment horizontal="center" vertical="center" wrapText="1"/>
      <protection/>
    </xf>
    <xf numFmtId="186" fontId="6" fillId="0" borderId="33" xfId="0" applyNumberFormat="1" applyFont="1" applyFill="1" applyBorder="1" applyAlignment="1" applyProtection="1">
      <alignment horizontal="center" vertical="center" wrapText="1"/>
      <protection/>
    </xf>
    <xf numFmtId="186" fontId="6" fillId="0" borderId="19" xfId="0" applyNumberFormat="1" applyFont="1" applyFill="1" applyBorder="1" applyAlignment="1" applyProtection="1">
      <alignment horizontal="center" vertical="center" wrapText="1"/>
      <protection/>
    </xf>
    <xf numFmtId="186" fontId="6" fillId="0" borderId="26" xfId="0" applyNumberFormat="1" applyFont="1" applyFill="1" applyBorder="1" applyAlignment="1" applyProtection="1">
      <alignment horizontal="center" vertical="center" wrapText="1"/>
      <protection/>
    </xf>
    <xf numFmtId="187" fontId="2" fillId="34" borderId="44" xfId="0" applyNumberFormat="1" applyFont="1" applyFill="1" applyBorder="1" applyAlignment="1" applyProtection="1">
      <alignment horizontal="center" vertical="center" wrapText="1"/>
      <protection/>
    </xf>
    <xf numFmtId="187" fontId="2" fillId="34" borderId="46" xfId="0" applyNumberFormat="1" applyFont="1" applyFill="1" applyBorder="1" applyAlignment="1" applyProtection="1">
      <alignment horizontal="center" vertical="center" wrapText="1"/>
      <protection/>
    </xf>
    <xf numFmtId="187" fontId="2" fillId="34" borderId="45" xfId="0" applyNumberFormat="1" applyFont="1" applyFill="1" applyBorder="1" applyAlignment="1" applyProtection="1">
      <alignment horizontal="center" vertical="center" wrapText="1"/>
      <protection/>
    </xf>
    <xf numFmtId="187" fontId="2" fillId="33" borderId="44" xfId="0" applyNumberFormat="1" applyFont="1" applyFill="1" applyBorder="1" applyAlignment="1" applyProtection="1">
      <alignment horizontal="center" vertical="center" wrapText="1"/>
      <protection/>
    </xf>
    <xf numFmtId="187" fontId="2" fillId="33" borderId="46" xfId="0" applyNumberFormat="1" applyFont="1" applyFill="1" applyBorder="1" applyAlignment="1" applyProtection="1">
      <alignment horizontal="center" vertical="center" wrapText="1"/>
      <protection/>
    </xf>
    <xf numFmtId="187" fontId="2" fillId="33" borderId="45" xfId="0" applyNumberFormat="1" applyFont="1" applyFill="1" applyBorder="1" applyAlignment="1" applyProtection="1">
      <alignment horizontal="center" vertical="center" wrapText="1"/>
      <protection/>
    </xf>
    <xf numFmtId="187" fontId="2" fillId="35" borderId="44" xfId="0" applyNumberFormat="1" applyFont="1" applyFill="1" applyBorder="1" applyAlignment="1" applyProtection="1">
      <alignment horizontal="center" vertical="center" wrapText="1"/>
      <protection/>
    </xf>
    <xf numFmtId="187" fontId="2" fillId="35" borderId="46" xfId="0" applyNumberFormat="1" applyFont="1" applyFill="1" applyBorder="1" applyAlignment="1" applyProtection="1">
      <alignment horizontal="center" vertical="center" wrapText="1"/>
      <protection/>
    </xf>
    <xf numFmtId="187" fontId="2" fillId="35" borderId="45" xfId="0" applyNumberFormat="1" applyFont="1" applyFill="1" applyBorder="1" applyAlignment="1" applyProtection="1">
      <alignment horizontal="center" vertical="center" wrapText="1"/>
      <protection/>
    </xf>
    <xf numFmtId="187" fontId="2" fillId="40" borderId="44" xfId="0" applyNumberFormat="1" applyFont="1" applyFill="1" applyBorder="1" applyAlignment="1" applyProtection="1">
      <alignment horizontal="center" vertical="center" wrapText="1"/>
      <protection/>
    </xf>
    <xf numFmtId="187" fontId="2" fillId="40" borderId="46" xfId="0" applyNumberFormat="1" applyFont="1" applyFill="1" applyBorder="1" applyAlignment="1" applyProtection="1">
      <alignment horizontal="center" vertical="center" wrapText="1"/>
      <protection/>
    </xf>
    <xf numFmtId="187" fontId="2" fillId="40" borderId="45" xfId="0" applyNumberFormat="1" applyFont="1" applyFill="1" applyBorder="1" applyAlignment="1" applyProtection="1">
      <alignment horizontal="center" vertical="center" wrapText="1"/>
      <protection/>
    </xf>
    <xf numFmtId="187" fontId="2" fillId="36" borderId="44" xfId="0" applyNumberFormat="1" applyFont="1" applyFill="1" applyBorder="1" applyAlignment="1" applyProtection="1">
      <alignment horizontal="center" vertical="center" wrapText="1"/>
      <protection/>
    </xf>
    <xf numFmtId="187" fontId="2" fillId="36" borderId="46" xfId="0" applyNumberFormat="1" applyFont="1" applyFill="1" applyBorder="1" applyAlignment="1" applyProtection="1">
      <alignment horizontal="center" vertical="center" wrapText="1"/>
      <protection/>
    </xf>
    <xf numFmtId="187" fontId="2" fillId="36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0" fillId="42" borderId="0" xfId="0" applyFill="1" applyAlignment="1">
      <alignment horizontal="center" wrapText="1"/>
    </xf>
    <xf numFmtId="0" fontId="0" fillId="42" borderId="0" xfId="0" applyFill="1" applyAlignment="1">
      <alignment horizontal="center"/>
    </xf>
    <xf numFmtId="0" fontId="13" fillId="43" borderId="0" xfId="50" applyFill="1" applyBorder="1">
      <alignment/>
      <protection/>
    </xf>
    <xf numFmtId="0" fontId="18" fillId="43" borderId="33" xfId="49" applyFont="1" applyFill="1" applyBorder="1" applyAlignment="1">
      <alignment horizontal="center" vertical="center" wrapText="1"/>
      <protection/>
    </xf>
    <xf numFmtId="0" fontId="18" fillId="43" borderId="49" xfId="49" applyFont="1" applyFill="1" applyBorder="1" applyAlignment="1">
      <alignment horizontal="center" vertical="center" wrapText="1"/>
      <protection/>
    </xf>
    <xf numFmtId="0" fontId="9" fillId="43" borderId="10" xfId="0" applyNumberFormat="1" applyFont="1" applyFill="1" applyBorder="1" applyAlignment="1" applyProtection="1">
      <alignment vertical="top" wrapText="1"/>
      <protection/>
    </xf>
    <xf numFmtId="0" fontId="28" fillId="43" borderId="10" xfId="0" applyNumberFormat="1" applyFont="1" applyFill="1" applyBorder="1" applyAlignment="1" applyProtection="1">
      <alignment vertical="top" wrapText="1"/>
      <protection/>
    </xf>
    <xf numFmtId="0" fontId="32" fillId="43" borderId="10" xfId="0" applyNumberFormat="1" applyFont="1" applyFill="1" applyBorder="1" applyAlignment="1" applyProtection="1">
      <alignment horizontal="center" vertical="distributed"/>
      <protection/>
    </xf>
    <xf numFmtId="0" fontId="28" fillId="43" borderId="10" xfId="0" applyNumberFormat="1" applyFont="1" applyFill="1" applyBorder="1" applyAlignment="1" applyProtection="1">
      <alignment horizontal="center" vertical="top" wrapText="1"/>
      <protection/>
    </xf>
    <xf numFmtId="0" fontId="28" fillId="43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OĞALGAZ HESABI serkan" xfId="49"/>
    <cellStyle name="Normal_HÜRRİYET BEY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8"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104775</xdr:rowOff>
    </xdr:from>
    <xdr:to>
      <xdr:col>8</xdr:col>
      <xdr:colOff>190500</xdr:colOff>
      <xdr:row>4</xdr:row>
      <xdr:rowOff>200025</xdr:rowOff>
    </xdr:to>
    <xdr:grpSp>
      <xdr:nvGrpSpPr>
        <xdr:cNvPr id="1" name="Group 194"/>
        <xdr:cNvGrpSpPr>
          <a:grpSpLocks noChangeAspect="1"/>
        </xdr:cNvGrpSpPr>
      </xdr:nvGrpSpPr>
      <xdr:grpSpPr>
        <a:xfrm>
          <a:off x="3038475" y="1152525"/>
          <a:ext cx="171450" cy="95250"/>
          <a:chOff x="33" y="64"/>
          <a:chExt cx="36" cy="13"/>
        </a:xfrm>
        <a:solidFill>
          <a:srgbClr val="FFFFFF"/>
        </a:solidFill>
      </xdr:grpSpPr>
      <xdr:sp>
        <xdr:nvSpPr>
          <xdr:cNvPr id="2" name="Line 195"/>
          <xdr:cNvSpPr>
            <a:spLocks noChangeAspect="1"/>
          </xdr:cNvSpPr>
        </xdr:nvSpPr>
        <xdr:spPr>
          <a:xfrm>
            <a:off x="33" y="73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96"/>
          <xdr:cNvSpPr>
            <a:spLocks noChangeAspect="1"/>
          </xdr:cNvSpPr>
        </xdr:nvSpPr>
        <xdr:spPr>
          <a:xfrm>
            <a:off x="53" y="73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97"/>
          <xdr:cNvSpPr>
            <a:spLocks noChangeAspect="1"/>
          </xdr:cNvSpPr>
        </xdr:nvSpPr>
        <xdr:spPr>
          <a:xfrm rot="5400000">
            <a:off x="43" y="68"/>
            <a:ext cx="8" cy="1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98"/>
          <xdr:cNvSpPr>
            <a:spLocks noChangeAspect="1"/>
          </xdr:cNvSpPr>
        </xdr:nvSpPr>
        <xdr:spPr>
          <a:xfrm>
            <a:off x="34" y="64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4</xdr:row>
      <xdr:rowOff>47625</xdr:rowOff>
    </xdr:from>
    <xdr:to>
      <xdr:col>9</xdr:col>
      <xdr:colOff>142875</xdr:colOff>
      <xdr:row>4</xdr:row>
      <xdr:rowOff>190500</xdr:rowOff>
    </xdr:to>
    <xdr:grpSp>
      <xdr:nvGrpSpPr>
        <xdr:cNvPr id="6" name="Group 199"/>
        <xdr:cNvGrpSpPr>
          <a:grpSpLocks noChangeAspect="1"/>
        </xdr:cNvGrpSpPr>
      </xdr:nvGrpSpPr>
      <xdr:grpSpPr>
        <a:xfrm>
          <a:off x="3286125" y="1095375"/>
          <a:ext cx="123825" cy="142875"/>
          <a:chOff x="84" y="60"/>
          <a:chExt cx="26" cy="20"/>
        </a:xfrm>
        <a:solidFill>
          <a:srgbClr val="FFFFFF"/>
        </a:solidFill>
      </xdr:grpSpPr>
      <xdr:sp>
        <xdr:nvSpPr>
          <xdr:cNvPr id="7" name="Line 200"/>
          <xdr:cNvSpPr>
            <a:spLocks noChangeAspect="1"/>
          </xdr:cNvSpPr>
        </xdr:nvSpPr>
        <xdr:spPr>
          <a:xfrm>
            <a:off x="88" y="73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01"/>
          <xdr:cNvSpPr>
            <a:spLocks noChangeAspect="1"/>
          </xdr:cNvSpPr>
        </xdr:nvSpPr>
        <xdr:spPr>
          <a:xfrm flipV="1">
            <a:off x="102" y="60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02"/>
          <xdr:cNvSpPr>
            <a:spLocks noChangeAspect="1"/>
          </xdr:cNvSpPr>
        </xdr:nvSpPr>
        <xdr:spPr>
          <a:xfrm>
            <a:off x="84" y="8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203"/>
          <xdr:cNvSpPr>
            <a:spLocks noChangeAspect="1"/>
          </xdr:cNvSpPr>
        </xdr:nvSpPr>
        <xdr:spPr>
          <a:xfrm flipV="1">
            <a:off x="110" y="60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4</xdr:row>
      <xdr:rowOff>19050</xdr:rowOff>
    </xdr:from>
    <xdr:to>
      <xdr:col>12</xdr:col>
      <xdr:colOff>200025</xdr:colOff>
      <xdr:row>4</xdr:row>
      <xdr:rowOff>180975</xdr:rowOff>
    </xdr:to>
    <xdr:grpSp>
      <xdr:nvGrpSpPr>
        <xdr:cNvPr id="11" name="Group 204"/>
        <xdr:cNvGrpSpPr>
          <a:grpSpLocks noChangeAspect="1"/>
        </xdr:cNvGrpSpPr>
      </xdr:nvGrpSpPr>
      <xdr:grpSpPr>
        <a:xfrm>
          <a:off x="4029075" y="1066800"/>
          <a:ext cx="180975" cy="161925"/>
          <a:chOff x="126" y="55"/>
          <a:chExt cx="38" cy="23"/>
        </a:xfrm>
        <a:solidFill>
          <a:srgbClr val="FFFFFF"/>
        </a:solidFill>
      </xdr:grpSpPr>
      <xdr:sp>
        <xdr:nvSpPr>
          <xdr:cNvPr id="12" name="Line 205"/>
          <xdr:cNvSpPr>
            <a:spLocks noChangeAspect="1"/>
          </xdr:cNvSpPr>
        </xdr:nvSpPr>
        <xdr:spPr>
          <a:xfrm>
            <a:off x="135" y="78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06"/>
          <xdr:cNvSpPr>
            <a:spLocks noChangeAspect="1"/>
          </xdr:cNvSpPr>
        </xdr:nvSpPr>
        <xdr:spPr>
          <a:xfrm flipV="1">
            <a:off x="149" y="65"/>
            <a:ext cx="0" cy="1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07"/>
          <xdr:cNvSpPr>
            <a:spLocks noChangeAspect="1"/>
          </xdr:cNvSpPr>
        </xdr:nvSpPr>
        <xdr:spPr>
          <a:xfrm>
            <a:off x="148" y="78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08"/>
          <xdr:cNvSpPr>
            <a:spLocks noChangeAspect="1"/>
          </xdr:cNvSpPr>
        </xdr:nvSpPr>
        <xdr:spPr>
          <a:xfrm>
            <a:off x="126" y="7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09"/>
          <xdr:cNvSpPr>
            <a:spLocks noChangeAspect="1"/>
          </xdr:cNvSpPr>
        </xdr:nvSpPr>
        <xdr:spPr>
          <a:xfrm flipV="1">
            <a:off x="145" y="55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4</xdr:row>
      <xdr:rowOff>85725</xdr:rowOff>
    </xdr:from>
    <xdr:to>
      <xdr:col>11</xdr:col>
      <xdr:colOff>171450</xdr:colOff>
      <xdr:row>4</xdr:row>
      <xdr:rowOff>171450</xdr:rowOff>
    </xdr:to>
    <xdr:grpSp>
      <xdr:nvGrpSpPr>
        <xdr:cNvPr id="17" name="Group 210"/>
        <xdr:cNvGrpSpPr>
          <a:grpSpLocks noChangeAspect="1"/>
        </xdr:cNvGrpSpPr>
      </xdr:nvGrpSpPr>
      <xdr:grpSpPr>
        <a:xfrm>
          <a:off x="3762375" y="1133475"/>
          <a:ext cx="171450" cy="85725"/>
          <a:chOff x="172" y="66"/>
          <a:chExt cx="36" cy="12"/>
        </a:xfrm>
        <a:solidFill>
          <a:srgbClr val="FFFFFF"/>
        </a:solidFill>
      </xdr:grpSpPr>
      <xdr:sp>
        <xdr:nvSpPr>
          <xdr:cNvPr id="18" name="AutoShape 211"/>
          <xdr:cNvSpPr>
            <a:spLocks noChangeAspect="1"/>
          </xdr:cNvSpPr>
        </xdr:nvSpPr>
        <xdr:spPr>
          <a:xfrm rot="16200000">
            <a:off x="189" y="66"/>
            <a:ext cx="11" cy="12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12"/>
          <xdr:cNvSpPr>
            <a:spLocks noChangeAspect="1"/>
          </xdr:cNvSpPr>
        </xdr:nvSpPr>
        <xdr:spPr>
          <a:xfrm rot="5400000">
            <a:off x="180" y="66"/>
            <a:ext cx="12" cy="11"/>
          </a:xfrm>
          <a:prstGeom prst="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13"/>
          <xdr:cNvSpPr>
            <a:spLocks noChangeAspect="1"/>
          </xdr:cNvSpPr>
        </xdr:nvSpPr>
        <xdr:spPr>
          <a:xfrm>
            <a:off x="172" y="7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4"/>
          <xdr:cNvSpPr>
            <a:spLocks noChangeAspect="1"/>
          </xdr:cNvSpPr>
        </xdr:nvSpPr>
        <xdr:spPr>
          <a:xfrm>
            <a:off x="200" y="72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4</xdr:row>
      <xdr:rowOff>47625</xdr:rowOff>
    </xdr:from>
    <xdr:to>
      <xdr:col>14</xdr:col>
      <xdr:colOff>180975</xdr:colOff>
      <xdr:row>4</xdr:row>
      <xdr:rowOff>247650</xdr:rowOff>
    </xdr:to>
    <xdr:grpSp>
      <xdr:nvGrpSpPr>
        <xdr:cNvPr id="22" name="Group 215"/>
        <xdr:cNvGrpSpPr>
          <a:grpSpLocks noChangeAspect="1"/>
        </xdr:cNvGrpSpPr>
      </xdr:nvGrpSpPr>
      <xdr:grpSpPr>
        <a:xfrm>
          <a:off x="4514850" y="1095375"/>
          <a:ext cx="171450" cy="200025"/>
          <a:chOff x="219" y="58"/>
          <a:chExt cx="35" cy="28"/>
        </a:xfrm>
        <a:solidFill>
          <a:srgbClr val="FFFFFF"/>
        </a:solidFill>
      </xdr:grpSpPr>
      <xdr:sp>
        <xdr:nvSpPr>
          <xdr:cNvPr id="23" name="Line 216"/>
          <xdr:cNvSpPr>
            <a:spLocks noChangeAspect="1"/>
          </xdr:cNvSpPr>
        </xdr:nvSpPr>
        <xdr:spPr>
          <a:xfrm>
            <a:off x="220" y="63"/>
            <a:ext cx="3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17"/>
          <xdr:cNvSpPr>
            <a:spLocks noChangeAspect="1"/>
          </xdr:cNvSpPr>
        </xdr:nvSpPr>
        <xdr:spPr>
          <a:xfrm>
            <a:off x="237" y="64"/>
            <a:ext cx="0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18"/>
          <xdr:cNvSpPr>
            <a:spLocks noChangeAspect="1"/>
          </xdr:cNvSpPr>
        </xdr:nvSpPr>
        <xdr:spPr>
          <a:xfrm flipH="1">
            <a:off x="219" y="58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19"/>
          <xdr:cNvSpPr>
            <a:spLocks noChangeAspect="1"/>
          </xdr:cNvSpPr>
        </xdr:nvSpPr>
        <xdr:spPr>
          <a:xfrm flipV="1">
            <a:off x="242" y="6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4</xdr:row>
      <xdr:rowOff>76200</xdr:rowOff>
    </xdr:from>
    <xdr:to>
      <xdr:col>13</xdr:col>
      <xdr:colOff>209550</xdr:colOff>
      <xdr:row>4</xdr:row>
      <xdr:rowOff>161925</xdr:rowOff>
    </xdr:to>
    <xdr:grpSp>
      <xdr:nvGrpSpPr>
        <xdr:cNvPr id="27" name="Group 220"/>
        <xdr:cNvGrpSpPr>
          <a:grpSpLocks noChangeAspect="1"/>
        </xdr:cNvGrpSpPr>
      </xdr:nvGrpSpPr>
      <xdr:grpSpPr>
        <a:xfrm>
          <a:off x="4276725" y="1123950"/>
          <a:ext cx="190500" cy="85725"/>
          <a:chOff x="265" y="69"/>
          <a:chExt cx="39" cy="12"/>
        </a:xfrm>
        <a:solidFill>
          <a:srgbClr val="FFFFFF"/>
        </a:solidFill>
      </xdr:grpSpPr>
      <xdr:sp>
        <xdr:nvSpPr>
          <xdr:cNvPr id="28" name="Line 221"/>
          <xdr:cNvSpPr>
            <a:spLocks noChangeAspect="1"/>
          </xdr:cNvSpPr>
        </xdr:nvSpPr>
        <xdr:spPr>
          <a:xfrm>
            <a:off x="274" y="81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22"/>
          <xdr:cNvSpPr>
            <a:spLocks noChangeAspect="1"/>
          </xdr:cNvSpPr>
        </xdr:nvSpPr>
        <xdr:spPr>
          <a:xfrm>
            <a:off x="288" y="81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23"/>
          <xdr:cNvSpPr>
            <a:spLocks noChangeAspect="1"/>
          </xdr:cNvSpPr>
        </xdr:nvSpPr>
        <xdr:spPr>
          <a:xfrm flipV="1">
            <a:off x="287" y="69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24"/>
          <xdr:cNvSpPr>
            <a:spLocks noChangeAspect="1"/>
          </xdr:cNvSpPr>
        </xdr:nvSpPr>
        <xdr:spPr>
          <a:xfrm>
            <a:off x="265" y="75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25"/>
          <xdr:cNvSpPr>
            <a:spLocks noChangeAspect="1"/>
          </xdr:cNvSpPr>
        </xdr:nvSpPr>
        <xdr:spPr>
          <a:xfrm flipV="1">
            <a:off x="290" y="76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4</xdr:row>
      <xdr:rowOff>66675</xdr:rowOff>
    </xdr:from>
    <xdr:to>
      <xdr:col>10</xdr:col>
      <xdr:colOff>200025</xdr:colOff>
      <xdr:row>4</xdr:row>
      <xdr:rowOff>190500</xdr:rowOff>
    </xdr:to>
    <xdr:grpSp>
      <xdr:nvGrpSpPr>
        <xdr:cNvPr id="33" name="Group 226"/>
        <xdr:cNvGrpSpPr>
          <a:grpSpLocks noChangeAspect="1"/>
        </xdr:cNvGrpSpPr>
      </xdr:nvGrpSpPr>
      <xdr:grpSpPr>
        <a:xfrm>
          <a:off x="3533775" y="1114425"/>
          <a:ext cx="180975" cy="123825"/>
          <a:chOff x="749" y="66"/>
          <a:chExt cx="37" cy="26"/>
        </a:xfrm>
        <a:solidFill>
          <a:srgbClr val="FFFFFF"/>
        </a:solidFill>
      </xdr:grpSpPr>
      <xdr:sp>
        <xdr:nvSpPr>
          <xdr:cNvPr id="34" name="Line 227"/>
          <xdr:cNvSpPr>
            <a:spLocks noChangeAspect="1"/>
          </xdr:cNvSpPr>
        </xdr:nvSpPr>
        <xdr:spPr>
          <a:xfrm>
            <a:off x="753" y="82"/>
            <a:ext cx="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228"/>
          <xdr:cNvSpPr>
            <a:spLocks noChangeAspect="1"/>
          </xdr:cNvSpPr>
        </xdr:nvSpPr>
        <xdr:spPr>
          <a:xfrm flipV="1">
            <a:off x="767" y="66"/>
            <a:ext cx="13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229"/>
          <xdr:cNvSpPr>
            <a:spLocks noChangeAspect="1"/>
          </xdr:cNvSpPr>
        </xdr:nvSpPr>
        <xdr:spPr>
          <a:xfrm>
            <a:off x="749" y="92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230"/>
          <xdr:cNvSpPr>
            <a:spLocks noChangeAspect="1"/>
          </xdr:cNvSpPr>
        </xdr:nvSpPr>
        <xdr:spPr>
          <a:xfrm flipV="1">
            <a:off x="775" y="68"/>
            <a:ext cx="1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U125"/>
  <sheetViews>
    <sheetView tabSelected="1" zoomScalePageLayoutView="0" workbookViewId="0" topLeftCell="A1">
      <selection activeCell="V11" sqref="V11"/>
    </sheetView>
  </sheetViews>
  <sheetFormatPr defaultColWidth="9.140625" defaultRowHeight="12.75" outlineLevelRow="1" outlineLevelCol="1"/>
  <cols>
    <col min="1" max="1" width="3.140625" style="241" customWidth="1"/>
    <col min="2" max="2" width="3.8515625" style="241" customWidth="1"/>
    <col min="3" max="3" width="5.8515625" style="241" customWidth="1"/>
    <col min="4" max="4" width="6.140625" style="241" customWidth="1"/>
    <col min="5" max="5" width="4.00390625" style="241" customWidth="1"/>
    <col min="6" max="6" width="6.7109375" style="277" customWidth="1"/>
    <col min="7" max="7" width="7.7109375" style="277" customWidth="1"/>
    <col min="8" max="8" width="7.8515625" style="241" customWidth="1"/>
    <col min="9" max="15" width="3.7109375" style="241" customWidth="1"/>
    <col min="16" max="16" width="5.7109375" style="241" customWidth="1"/>
    <col min="17" max="17" width="8.7109375" style="241" customWidth="1"/>
    <col min="18" max="18" width="5.8515625" style="241" customWidth="1"/>
    <col min="19" max="19" width="7.57421875" style="241" customWidth="1"/>
    <col min="20" max="20" width="9.421875" style="241" customWidth="1"/>
    <col min="21" max="21" width="2.421875" style="241" customWidth="1"/>
    <col min="22" max="26" width="7.7109375" style="241" customWidth="1" outlineLevel="1"/>
    <col min="27" max="27" width="2.28125" style="241" customWidth="1"/>
    <col min="28" max="28" width="6.57421875" style="241" customWidth="1"/>
    <col min="29" max="29" width="9.140625" style="241" customWidth="1"/>
    <col min="30" max="33" width="7.7109375" style="241" customWidth="1"/>
    <col min="34" max="41" width="6.7109375" style="241" customWidth="1"/>
    <col min="42" max="16384" width="9.140625" style="241" customWidth="1"/>
  </cols>
  <sheetData>
    <row r="1" spans="2:20" ht="15.75">
      <c r="B1" s="328" t="s">
        <v>266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2:20" ht="12.75">
      <c r="B2" s="335" t="s">
        <v>243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7"/>
    </row>
    <row r="3" spans="1:29" ht="42" customHeight="1">
      <c r="A3" s="345" t="s">
        <v>263</v>
      </c>
      <c r="B3" s="245">
        <v>1</v>
      </c>
      <c r="C3" s="245">
        <v>2</v>
      </c>
      <c r="D3" s="245">
        <v>4</v>
      </c>
      <c r="E3" s="245">
        <v>3</v>
      </c>
      <c r="F3" s="245">
        <v>5</v>
      </c>
      <c r="G3" s="245">
        <v>6</v>
      </c>
      <c r="H3" s="283">
        <v>7</v>
      </c>
      <c r="I3" s="349" t="s">
        <v>186</v>
      </c>
      <c r="J3" s="333" t="s">
        <v>45</v>
      </c>
      <c r="K3" s="333" t="s">
        <v>240</v>
      </c>
      <c r="L3" s="334" t="s">
        <v>31</v>
      </c>
      <c r="M3" s="333" t="s">
        <v>236</v>
      </c>
      <c r="N3" s="333" t="s">
        <v>241</v>
      </c>
      <c r="O3" s="346" t="s">
        <v>44</v>
      </c>
      <c r="P3" s="284">
        <v>8</v>
      </c>
      <c r="Q3" s="245">
        <v>9</v>
      </c>
      <c r="R3" s="245">
        <v>10</v>
      </c>
      <c r="S3" s="245">
        <v>11</v>
      </c>
      <c r="T3" s="245">
        <v>12</v>
      </c>
      <c r="V3" s="242"/>
      <c r="W3" s="242"/>
      <c r="X3" s="242"/>
      <c r="Y3" s="242"/>
      <c r="Z3" s="242"/>
      <c r="AC3" s="244" t="s">
        <v>238</v>
      </c>
    </row>
    <row r="4" spans="1:30" ht="12" customHeight="1">
      <c r="A4" s="345"/>
      <c r="B4" s="245"/>
      <c r="C4" s="245"/>
      <c r="D4" s="245"/>
      <c r="E4" s="245"/>
      <c r="F4" s="245"/>
      <c r="G4" s="245"/>
      <c r="H4" s="283" t="s">
        <v>146</v>
      </c>
      <c r="I4" s="349"/>
      <c r="J4" s="333"/>
      <c r="K4" s="333"/>
      <c r="L4" s="334"/>
      <c r="M4" s="334"/>
      <c r="N4" s="333"/>
      <c r="O4" s="346"/>
      <c r="P4" s="284"/>
      <c r="Q4" s="245"/>
      <c r="R4" s="245"/>
      <c r="S4" s="245"/>
      <c r="T4" s="245" t="s">
        <v>147</v>
      </c>
      <c r="V4" s="246"/>
      <c r="W4" s="246"/>
      <c r="X4" s="246"/>
      <c r="Y4" s="246"/>
      <c r="Z4" s="246"/>
      <c r="AC4" s="247">
        <v>5</v>
      </c>
      <c r="AD4" s="241" t="s">
        <v>237</v>
      </c>
    </row>
    <row r="5" spans="1:26" s="247" customFormat="1" ht="23.25" customHeight="1">
      <c r="A5" s="345"/>
      <c r="B5" s="340" t="s">
        <v>30</v>
      </c>
      <c r="C5" s="329" t="s">
        <v>156</v>
      </c>
      <c r="D5" s="329" t="s">
        <v>154</v>
      </c>
      <c r="E5" s="329" t="s">
        <v>155</v>
      </c>
      <c r="F5" s="329" t="s">
        <v>157</v>
      </c>
      <c r="G5" s="329" t="s">
        <v>153</v>
      </c>
      <c r="H5" s="347" t="s">
        <v>152</v>
      </c>
      <c r="I5" s="285"/>
      <c r="J5" s="248"/>
      <c r="K5" s="248"/>
      <c r="L5" s="248"/>
      <c r="M5" s="248"/>
      <c r="N5" s="248"/>
      <c r="O5" s="286"/>
      <c r="P5" s="331" t="s">
        <v>145</v>
      </c>
      <c r="Q5" s="329" t="s">
        <v>151</v>
      </c>
      <c r="R5" s="329" t="s">
        <v>150</v>
      </c>
      <c r="S5" s="329" t="s">
        <v>149</v>
      </c>
      <c r="T5" s="329" t="s">
        <v>148</v>
      </c>
      <c r="V5" s="249" t="s">
        <v>53</v>
      </c>
      <c r="W5" s="249" t="s">
        <v>52</v>
      </c>
      <c r="X5" s="249" t="s">
        <v>71</v>
      </c>
      <c r="Y5" s="249" t="s">
        <v>54</v>
      </c>
      <c r="Z5" s="249" t="s">
        <v>55</v>
      </c>
    </row>
    <row r="6" spans="1:26" s="247" customFormat="1" ht="12.75">
      <c r="A6" s="345"/>
      <c r="B6" s="341"/>
      <c r="C6" s="330"/>
      <c r="D6" s="330"/>
      <c r="E6" s="330"/>
      <c r="F6" s="330"/>
      <c r="G6" s="330"/>
      <c r="H6" s="348"/>
      <c r="I6" s="287">
        <v>0.5</v>
      </c>
      <c r="J6" s="288">
        <v>0.5</v>
      </c>
      <c r="K6" s="288">
        <v>0.3</v>
      </c>
      <c r="L6" s="288">
        <v>0.5</v>
      </c>
      <c r="M6" s="288">
        <v>1.3</v>
      </c>
      <c r="N6" s="288">
        <v>0</v>
      </c>
      <c r="O6" s="289">
        <v>1.3</v>
      </c>
      <c r="P6" s="332"/>
      <c r="Q6" s="330"/>
      <c r="R6" s="330"/>
      <c r="S6" s="330"/>
      <c r="T6" s="330"/>
      <c r="V6" s="282"/>
      <c r="W6" s="282"/>
      <c r="X6" s="282"/>
      <c r="Y6" s="282"/>
      <c r="Z6" s="282"/>
    </row>
    <row r="7" spans="1:20" ht="12.75" customHeight="1" thickBot="1">
      <c r="A7" s="316"/>
      <c r="B7" s="338" t="s">
        <v>46</v>
      </c>
      <c r="C7" s="338"/>
      <c r="D7" s="338"/>
      <c r="E7" s="338"/>
      <c r="F7" s="338"/>
      <c r="G7" s="338"/>
      <c r="H7" s="338"/>
      <c r="I7" s="339"/>
      <c r="J7" s="339"/>
      <c r="K7" s="339"/>
      <c r="L7" s="339"/>
      <c r="M7" s="339"/>
      <c r="N7" s="339"/>
      <c r="O7" s="339"/>
      <c r="P7" s="338"/>
      <c r="Q7" s="338"/>
      <c r="R7" s="338"/>
      <c r="S7" s="338"/>
      <c r="T7" s="338"/>
    </row>
    <row r="8" spans="1:41" ht="12.75" customHeight="1" thickBot="1">
      <c r="A8" s="297">
        <v>13</v>
      </c>
      <c r="B8" s="250">
        <v>1</v>
      </c>
      <c r="C8" s="315">
        <v>11.9</v>
      </c>
      <c r="D8" s="251">
        <v>2.2</v>
      </c>
      <c r="E8" s="252">
        <v>32</v>
      </c>
      <c r="F8" s="253">
        <f aca="true" t="shared" si="0" ref="F8:F39">IF($C8&lt;=31,$Z8,$Y8)</f>
        <v>3.2725000000000004</v>
      </c>
      <c r="G8" s="254">
        <f aca="true" t="shared" si="1" ref="G8:G39">IF($C8&lt;31,$X8,$W8/$D8)</f>
        <v>0.055920000000000004</v>
      </c>
      <c r="H8" s="255">
        <f aca="true" t="shared" si="2" ref="H8:H39">D8*G8</f>
        <v>0.12302400000000002</v>
      </c>
      <c r="I8" s="325"/>
      <c r="J8" s="326">
        <v>3</v>
      </c>
      <c r="K8" s="326"/>
      <c r="L8" s="326">
        <v>1</v>
      </c>
      <c r="M8" s="326"/>
      <c r="N8" s="326"/>
      <c r="O8" s="327"/>
      <c r="P8" s="290">
        <f aca="true" t="shared" si="3" ref="P8:P13">I8*$I$6+J8*$J$6+K8*$K$6+L8*$L$6+M8*$M$6+N8*$N$6+O8*$O$6</f>
        <v>2</v>
      </c>
      <c r="Q8" s="256">
        <f>0.00397*P8*F8^2</f>
        <v>0.08503149462500001</v>
      </c>
      <c r="R8" s="251">
        <v>-0.9</v>
      </c>
      <c r="S8" s="257">
        <f aca="true" t="shared" si="4" ref="S8:S13">0.049*R8</f>
        <v>-0.0441</v>
      </c>
      <c r="T8" s="256">
        <f>H8+Q8+S8</f>
        <v>0.16395549462500003</v>
      </c>
      <c r="U8" s="258"/>
      <c r="V8" s="259">
        <f>1.021-(23.2*0.6*D8*($C8^1.82)/($E8^4.82))</f>
        <v>1.020845568997635</v>
      </c>
      <c r="W8" s="259">
        <f aca="true" t="shared" si="5" ref="W8:W39">(1.021-$V8)*1000</f>
        <v>0.15443100236489649</v>
      </c>
      <c r="X8" s="259">
        <f aca="true" ca="1" t="shared" si="6" ref="X8:X39">VLOOKUP(IF(MOD($C8,0.5)&lt;&gt;0,($C8-MOD($C8,0.5)),$C8),INDIRECT(CONCATENATE("din",$E8)),3)+(($C8-IF(MOD($C8,0.5)&lt;&gt;0,($C8-MOD($C8,0.5)),$C8))*(VLOOKUP(IF(MOD($C8,0.5)&lt;&gt;0,($C8-MOD($C8,0.5))+0.5,$C8+0.5),INDIRECT(CONCATENATE("din",$E8)),3)-VLOOKUP(IF(MOD($C8,0.5)&lt;&gt;0,($C8-MOD($C8,0.5)),$C8),INDIRECT(CONCATENATE("din",$E8)),3)))/(IF(MOD($C8,0.5)&lt;&gt;0,($C8-MOD($C8,0.5))+0.5,$C8+0.5)-IF(MOD($C8,0.5)&lt;&gt;0,($C8-MOD($C8,0.5)),$C8))</f>
        <v>0.055920000000000004</v>
      </c>
      <c r="Y8" s="259">
        <f>353.677*$C8/(($E8^2)*$V8)</f>
        <v>4.026185447672029</v>
      </c>
      <c r="Z8" s="259">
        <f aca="true" t="shared" si="7" ref="Z8:Z39">IF($E8=15,1.4*$C8,IF($E8=20,0.75*$C8,IF($E8=25,0.475*$C8,IF($E8=32,0.275*$C8,IF($E8=40,0.2*$C8,IF($E8=50,0.125*$C8,IF($E8=65,0.07407*$C8,IF($E8=80,0.05405*$C8,0))))))))</f>
        <v>3.2725000000000004</v>
      </c>
      <c r="AA8" s="258"/>
      <c r="AB8" s="258"/>
      <c r="AC8" s="272" t="s">
        <v>144</v>
      </c>
      <c r="AD8" s="273"/>
      <c r="AE8" s="274"/>
      <c r="AF8" s="260">
        <f>SUM(AD10:AO10)</f>
        <v>0</v>
      </c>
      <c r="AG8" s="261" t="s">
        <v>143</v>
      </c>
      <c r="AH8" s="275" t="s">
        <v>142</v>
      </c>
      <c r="AI8" s="276"/>
      <c r="AJ8" s="243"/>
      <c r="AK8" s="243"/>
      <c r="AL8" s="243"/>
      <c r="AM8" s="243"/>
      <c r="AN8" s="243"/>
      <c r="AO8" s="243"/>
    </row>
    <row r="9" spans="1:41" ht="12.75" customHeight="1">
      <c r="A9" s="297">
        <v>12</v>
      </c>
      <c r="B9" s="250">
        <v>2</v>
      </c>
      <c r="C9" s="315">
        <v>11.9</v>
      </c>
      <c r="D9" s="251">
        <v>1.4</v>
      </c>
      <c r="E9" s="252">
        <v>32</v>
      </c>
      <c r="F9" s="253">
        <f t="shared" si="0"/>
        <v>3.2725000000000004</v>
      </c>
      <c r="G9" s="254">
        <f t="shared" si="1"/>
        <v>0.055920000000000004</v>
      </c>
      <c r="H9" s="255">
        <f t="shared" si="2"/>
        <v>0.078288</v>
      </c>
      <c r="I9" s="325"/>
      <c r="J9" s="326">
        <v>3</v>
      </c>
      <c r="K9" s="326"/>
      <c r="L9" s="326">
        <v>1</v>
      </c>
      <c r="M9" s="326"/>
      <c r="N9" s="326"/>
      <c r="O9" s="327"/>
      <c r="P9" s="290">
        <f t="shared" si="3"/>
        <v>2</v>
      </c>
      <c r="Q9" s="256">
        <f aca="true" t="shared" si="8" ref="Q9:Q57">0.00397*P9*F9^2</f>
        <v>0.08503149462500001</v>
      </c>
      <c r="R9" s="251">
        <v>-0.7</v>
      </c>
      <c r="S9" s="257">
        <f t="shared" si="4"/>
        <v>-0.0343</v>
      </c>
      <c r="T9" s="256">
        <f aca="true" t="shared" si="9" ref="T9:T57">H9+Q9+S9</f>
        <v>0.129019494625</v>
      </c>
      <c r="U9" s="258"/>
      <c r="V9" s="259">
        <f aca="true" t="shared" si="10" ref="V9:V72">1.021-(23.2*0.6*D9*($C9^1.82)/($E9^4.82))</f>
        <v>1.0209017257257675</v>
      </c>
      <c r="W9" s="259">
        <f t="shared" si="5"/>
        <v>0.09827427423236834</v>
      </c>
      <c r="X9" s="259">
        <f ca="1" t="shared" si="6"/>
        <v>0.055920000000000004</v>
      </c>
      <c r="Y9" s="259">
        <f aca="true" t="shared" si="11" ref="Y9:Y72">353.677*$C9/(($E9^2)*$V9)</f>
        <v>4.02596397934075</v>
      </c>
      <c r="Z9" s="259">
        <f t="shared" si="7"/>
        <v>3.2725000000000004</v>
      </c>
      <c r="AA9" s="258"/>
      <c r="AB9" s="258"/>
      <c r="AC9" s="266" t="s">
        <v>69</v>
      </c>
      <c r="AD9" s="267"/>
      <c r="AE9" s="267"/>
      <c r="AF9" s="267"/>
      <c r="AG9" s="267"/>
      <c r="AH9" s="267"/>
      <c r="AI9" s="267"/>
      <c r="AJ9" s="269"/>
      <c r="AK9" s="269"/>
      <c r="AL9" s="269"/>
      <c r="AM9" s="269"/>
      <c r="AN9" s="269"/>
      <c r="AO9" s="269"/>
    </row>
    <row r="10" spans="1:41" ht="12.75" customHeight="1">
      <c r="A10" s="297"/>
      <c r="B10" s="250">
        <v>3</v>
      </c>
      <c r="C10" s="315">
        <v>9.3</v>
      </c>
      <c r="D10" s="251">
        <v>4.1</v>
      </c>
      <c r="E10" s="252">
        <v>32</v>
      </c>
      <c r="F10" s="253">
        <f t="shared" si="0"/>
        <v>2.5575000000000006</v>
      </c>
      <c r="G10" s="254">
        <f t="shared" si="1"/>
        <v>0.035100000000000006</v>
      </c>
      <c r="H10" s="255">
        <f t="shared" si="2"/>
        <v>0.14391</v>
      </c>
      <c r="I10" s="325"/>
      <c r="J10" s="326">
        <v>2</v>
      </c>
      <c r="K10" s="326"/>
      <c r="L10" s="326">
        <v>1</v>
      </c>
      <c r="M10" s="326"/>
      <c r="N10" s="326"/>
      <c r="O10" s="327"/>
      <c r="P10" s="290">
        <f t="shared" si="3"/>
        <v>1.5</v>
      </c>
      <c r="Q10" s="256">
        <f t="shared" si="8"/>
        <v>0.03895050121875001</v>
      </c>
      <c r="R10" s="251">
        <v>1.2</v>
      </c>
      <c r="S10" s="257">
        <f t="shared" si="4"/>
        <v>0.0588</v>
      </c>
      <c r="T10" s="256">
        <f t="shared" si="9"/>
        <v>0.24166050121875002</v>
      </c>
      <c r="U10" s="258"/>
      <c r="V10" s="259">
        <f t="shared" si="10"/>
        <v>1.0208162450009612</v>
      </c>
      <c r="W10" s="259">
        <f t="shared" si="5"/>
        <v>0.18375499903866555</v>
      </c>
      <c r="X10" s="259">
        <f ca="1" t="shared" si="6"/>
        <v>0.035100000000000006</v>
      </c>
      <c r="Y10" s="259">
        <f t="shared" si="11"/>
        <v>3.1466050644631207</v>
      </c>
      <c r="Z10" s="259">
        <f t="shared" si="7"/>
        <v>2.5575000000000006</v>
      </c>
      <c r="AA10" s="258"/>
      <c r="AB10" s="258"/>
      <c r="AC10" s="270" t="s">
        <v>70</v>
      </c>
      <c r="AD10" s="271">
        <f aca="true" t="shared" si="12" ref="AD10:AO10">IF(OR(AD9="",AD9=0),"",VLOOKUP(AD$13,$B$8:$T$107,19))</f>
      </c>
      <c r="AE10" s="271">
        <f t="shared" si="12"/>
      </c>
      <c r="AF10" s="271">
        <f t="shared" si="12"/>
      </c>
      <c r="AG10" s="271">
        <f t="shared" si="12"/>
      </c>
      <c r="AH10" s="271">
        <f t="shared" si="12"/>
      </c>
      <c r="AI10" s="271">
        <f t="shared" si="12"/>
      </c>
      <c r="AJ10" s="271">
        <f t="shared" si="12"/>
      </c>
      <c r="AK10" s="271">
        <f t="shared" si="12"/>
      </c>
      <c r="AL10" s="271">
        <f t="shared" si="12"/>
      </c>
      <c r="AM10" s="271">
        <f t="shared" si="12"/>
      </c>
      <c r="AN10" s="271">
        <f t="shared" si="12"/>
      </c>
      <c r="AO10" s="271">
        <f t="shared" si="12"/>
      </c>
    </row>
    <row r="11" spans="1:41" ht="12.75" customHeight="1" thickBot="1">
      <c r="A11" s="297"/>
      <c r="B11" s="250">
        <v>4</v>
      </c>
      <c r="C11" s="315">
        <v>2.6</v>
      </c>
      <c r="D11" s="251">
        <v>1.9</v>
      </c>
      <c r="E11" s="252">
        <v>20</v>
      </c>
      <c r="F11" s="253">
        <f t="shared" si="0"/>
        <v>1.9500000000000002</v>
      </c>
      <c r="G11" s="254">
        <f t="shared" si="1"/>
        <v>0.043800000000000006</v>
      </c>
      <c r="H11" s="255">
        <f t="shared" si="2"/>
        <v>0.08322</v>
      </c>
      <c r="I11" s="325">
        <v>1</v>
      </c>
      <c r="J11" s="326">
        <v>2</v>
      </c>
      <c r="K11" s="326"/>
      <c r="L11" s="326"/>
      <c r="M11" s="326"/>
      <c r="N11" s="326"/>
      <c r="O11" s="327">
        <v>1</v>
      </c>
      <c r="P11" s="290">
        <f t="shared" si="3"/>
        <v>2.8</v>
      </c>
      <c r="Q11" s="256">
        <f t="shared" si="8"/>
        <v>0.042268589999999995</v>
      </c>
      <c r="R11" s="251"/>
      <c r="S11" s="257">
        <f t="shared" si="4"/>
        <v>0</v>
      </c>
      <c r="T11" s="256">
        <f t="shared" si="9"/>
        <v>0.12548859</v>
      </c>
      <c r="U11" s="258"/>
      <c r="V11" s="259">
        <f t="shared" si="10"/>
        <v>1.0209193360006958</v>
      </c>
      <c r="W11" s="259">
        <f t="shared" si="5"/>
        <v>0.08066399930406476</v>
      </c>
      <c r="X11" s="259">
        <f ca="1" t="shared" si="6"/>
        <v>0.043800000000000006</v>
      </c>
      <c r="Y11" s="259">
        <f t="shared" si="11"/>
        <v>2.2517944551874307</v>
      </c>
      <c r="Z11" s="259">
        <f t="shared" si="7"/>
        <v>1.9500000000000002</v>
      </c>
      <c r="AA11" s="258"/>
      <c r="AB11" s="258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</row>
    <row r="12" spans="1:41" ht="12.75" customHeight="1" thickBot="1">
      <c r="A12" s="297"/>
      <c r="B12" s="250">
        <v>5</v>
      </c>
      <c r="C12" s="315">
        <v>1.6</v>
      </c>
      <c r="D12" s="251">
        <v>1.2</v>
      </c>
      <c r="E12" s="252">
        <v>15</v>
      </c>
      <c r="F12" s="253">
        <f t="shared" si="0"/>
        <v>2.2399999999999998</v>
      </c>
      <c r="G12" s="254">
        <f t="shared" si="1"/>
        <v>0.08368</v>
      </c>
      <c r="H12" s="255">
        <f t="shared" si="2"/>
        <v>0.100416</v>
      </c>
      <c r="I12" s="325">
        <v>1</v>
      </c>
      <c r="J12" s="326">
        <v>1</v>
      </c>
      <c r="K12" s="326"/>
      <c r="L12" s="326">
        <v>1</v>
      </c>
      <c r="M12" s="326">
        <v>1</v>
      </c>
      <c r="N12" s="326"/>
      <c r="O12" s="327"/>
      <c r="P12" s="290">
        <f t="shared" si="3"/>
        <v>2.8</v>
      </c>
      <c r="Q12" s="256">
        <f t="shared" si="8"/>
        <v>0.055775641599999974</v>
      </c>
      <c r="R12" s="251">
        <v>1.2</v>
      </c>
      <c r="S12" s="257">
        <f t="shared" si="4"/>
        <v>0.0588</v>
      </c>
      <c r="T12" s="256">
        <f t="shared" si="9"/>
        <v>0.21499164159999998</v>
      </c>
      <c r="U12" s="258"/>
      <c r="V12" s="259">
        <f t="shared" si="10"/>
        <v>1.020915752120011</v>
      </c>
      <c r="W12" s="259">
        <f t="shared" si="5"/>
        <v>0.08424787998895233</v>
      </c>
      <c r="X12" s="259">
        <f ca="1" t="shared" si="6"/>
        <v>0.08368</v>
      </c>
      <c r="Y12" s="259">
        <f t="shared" si="11"/>
        <v>2.463510274204092</v>
      </c>
      <c r="Z12" s="259">
        <f t="shared" si="7"/>
        <v>2.2399999999999998</v>
      </c>
      <c r="AA12" s="258"/>
      <c r="AB12" s="258"/>
      <c r="AC12" s="272" t="s">
        <v>144</v>
      </c>
      <c r="AD12" s="273"/>
      <c r="AE12" s="274"/>
      <c r="AF12" s="260">
        <f>SUM(AD14:AO14)</f>
        <v>0</v>
      </c>
      <c r="AG12" s="261" t="s">
        <v>143</v>
      </c>
      <c r="AH12" s="275" t="s">
        <v>142</v>
      </c>
      <c r="AI12" s="276"/>
      <c r="AJ12" s="243"/>
      <c r="AK12" s="243"/>
      <c r="AL12" s="243"/>
      <c r="AM12" s="243"/>
      <c r="AN12" s="243"/>
      <c r="AO12" s="243"/>
    </row>
    <row r="13" spans="1:41" ht="12.75" customHeight="1">
      <c r="A13" s="297"/>
      <c r="B13" s="250">
        <v>6</v>
      </c>
      <c r="C13" s="315">
        <v>1</v>
      </c>
      <c r="D13" s="251">
        <v>1.85</v>
      </c>
      <c r="E13" s="252">
        <v>15</v>
      </c>
      <c r="F13" s="253">
        <f t="shared" si="0"/>
        <v>1.4</v>
      </c>
      <c r="G13" s="254">
        <f t="shared" si="1"/>
        <v>0.0192</v>
      </c>
      <c r="H13" s="255">
        <f t="shared" si="2"/>
        <v>0.035519999999999996</v>
      </c>
      <c r="I13" s="325"/>
      <c r="J13" s="326">
        <v>2</v>
      </c>
      <c r="K13" s="326"/>
      <c r="L13" s="326">
        <v>1</v>
      </c>
      <c r="M13" s="326"/>
      <c r="N13" s="326"/>
      <c r="O13" s="327"/>
      <c r="P13" s="290">
        <f t="shared" si="3"/>
        <v>1.5</v>
      </c>
      <c r="Q13" s="256">
        <f t="shared" si="8"/>
        <v>0.011671799999999998</v>
      </c>
      <c r="R13" s="251">
        <v>1.2</v>
      </c>
      <c r="S13" s="257">
        <f t="shared" si="4"/>
        <v>0.0588</v>
      </c>
      <c r="T13" s="256">
        <f t="shared" si="9"/>
        <v>0.1059918</v>
      </c>
      <c r="U13" s="258"/>
      <c r="V13" s="259">
        <f t="shared" si="10"/>
        <v>1.0209447857604625</v>
      </c>
      <c r="W13" s="259">
        <f t="shared" si="5"/>
        <v>0.055214239537360044</v>
      </c>
      <c r="X13" s="259">
        <f ca="1" t="shared" si="6"/>
        <v>0.0192</v>
      </c>
      <c r="Y13" s="259">
        <f t="shared" si="11"/>
        <v>1.5396501355427676</v>
      </c>
      <c r="Z13" s="259">
        <f t="shared" si="7"/>
        <v>1.4</v>
      </c>
      <c r="AA13" s="258"/>
      <c r="AB13" s="258"/>
      <c r="AC13" s="266" t="s">
        <v>69</v>
      </c>
      <c r="AD13" s="267"/>
      <c r="AE13" s="267"/>
      <c r="AF13" s="267"/>
      <c r="AG13" s="267"/>
      <c r="AH13" s="267"/>
      <c r="AI13" s="267"/>
      <c r="AJ13" s="269"/>
      <c r="AK13" s="269"/>
      <c r="AL13" s="269"/>
      <c r="AM13" s="269"/>
      <c r="AN13" s="269"/>
      <c r="AO13" s="269"/>
    </row>
    <row r="14" spans="1:41" ht="12.75" customHeight="1">
      <c r="A14" s="297"/>
      <c r="B14" s="250">
        <v>7</v>
      </c>
      <c r="C14" s="315">
        <f>IF(OR($A14=0,$A14=" "),0,VLOOKUP($A14,eszamfak!$A$5:$M$99,3))</f>
        <v>0</v>
      </c>
      <c r="D14" s="251"/>
      <c r="E14" s="252" t="e">
        <f aca="true" t="shared" si="13" ref="E14:E19">IF(VLOOKUP(C14,din15,2)&lt;$AC$4,15,IF(VLOOKUP(C14,din20,2)&lt;$AC$4,20,IF(VLOOKUP(C14,din25,2)&lt;$AC$4,25,IF(VLOOKUP(C14,din32,2)&lt;$AC$4,32,IF(VLOOKUP(C14,din40,2)&lt;$AC$4,40,IF(VLOOKUP(C14,din50,2)&lt;$AC$4,50,IF(VLOOKUP(C14,din65,2)&lt;$AC$4,65,"")))))))</f>
        <v>#N/A</v>
      </c>
      <c r="F14" s="253" t="e">
        <f t="shared" si="0"/>
        <v>#N/A</v>
      </c>
      <c r="G14" s="254" t="e">
        <f t="shared" si="1"/>
        <v>#N/A</v>
      </c>
      <c r="H14" s="255" t="e">
        <f t="shared" si="2"/>
        <v>#N/A</v>
      </c>
      <c r="I14" s="325"/>
      <c r="J14" s="326"/>
      <c r="K14" s="326"/>
      <c r="L14" s="326"/>
      <c r="M14" s="326"/>
      <c r="N14" s="326"/>
      <c r="O14" s="327"/>
      <c r="P14" s="290">
        <f aca="true" t="shared" si="14" ref="P14:P72">I14*$I$6+J14*$J$6+K14*$K$6+L14*$L$6+M14*$M$6+N14*$N$6+O14*$O$6</f>
        <v>0</v>
      </c>
      <c r="Q14" s="256" t="e">
        <f t="shared" si="8"/>
        <v>#N/A</v>
      </c>
      <c r="R14" s="251"/>
      <c r="S14" s="257">
        <f aca="true" t="shared" si="15" ref="S14:S72">0.049*R14</f>
        <v>0</v>
      </c>
      <c r="T14" s="256" t="e">
        <f t="shared" si="9"/>
        <v>#N/A</v>
      </c>
      <c r="U14" s="258"/>
      <c r="V14" s="259" t="e">
        <f t="shared" si="10"/>
        <v>#N/A</v>
      </c>
      <c r="W14" s="259" t="e">
        <f t="shared" si="5"/>
        <v>#N/A</v>
      </c>
      <c r="X14" s="259" t="e">
        <f ca="1" t="shared" si="6"/>
        <v>#N/A</v>
      </c>
      <c r="Y14" s="259" t="e">
        <f t="shared" si="11"/>
        <v>#N/A</v>
      </c>
      <c r="Z14" s="259" t="e">
        <f t="shared" si="7"/>
        <v>#N/A</v>
      </c>
      <c r="AA14" s="258"/>
      <c r="AB14" s="258"/>
      <c r="AC14" s="270" t="s">
        <v>70</v>
      </c>
      <c r="AD14" s="271">
        <f>IF(OR(AD13="",AD13=0),"",VLOOKUP(AD$13,$B$8:$T$107,19))</f>
      </c>
      <c r="AE14" s="271">
        <f aca="true" t="shared" si="16" ref="AE14:AO14">IF(OR(AE13="",AE13=0),"",VLOOKUP(AE$13,$B$8:$T$107,19))</f>
      </c>
      <c r="AF14" s="271">
        <f t="shared" si="16"/>
      </c>
      <c r="AG14" s="271">
        <f t="shared" si="16"/>
      </c>
      <c r="AH14" s="271">
        <f t="shared" si="16"/>
      </c>
      <c r="AI14" s="271">
        <f t="shared" si="16"/>
      </c>
      <c r="AJ14" s="271">
        <f t="shared" si="16"/>
      </c>
      <c r="AK14" s="271">
        <f t="shared" si="16"/>
      </c>
      <c r="AL14" s="271">
        <f t="shared" si="16"/>
      </c>
      <c r="AM14" s="271">
        <f t="shared" si="16"/>
      </c>
      <c r="AN14" s="271">
        <f t="shared" si="16"/>
      </c>
      <c r="AO14" s="271">
        <f t="shared" si="16"/>
      </c>
    </row>
    <row r="15" spans="1:28" ht="12.75" customHeight="1" thickBot="1">
      <c r="A15" s="297"/>
      <c r="B15" s="250">
        <v>8</v>
      </c>
      <c r="C15" s="315">
        <f>IF(OR($A15=0,$A15=" "),0,VLOOKUP($A15,eszamfak!$A$5:$M$99,3))</f>
        <v>0</v>
      </c>
      <c r="D15" s="251"/>
      <c r="E15" s="252" t="e">
        <f t="shared" si="13"/>
        <v>#N/A</v>
      </c>
      <c r="F15" s="253" t="e">
        <f t="shared" si="0"/>
        <v>#N/A</v>
      </c>
      <c r="G15" s="254" t="e">
        <f t="shared" si="1"/>
        <v>#N/A</v>
      </c>
      <c r="H15" s="255" t="e">
        <f t="shared" si="2"/>
        <v>#N/A</v>
      </c>
      <c r="I15" s="325"/>
      <c r="J15" s="326"/>
      <c r="K15" s="326"/>
      <c r="L15" s="326"/>
      <c r="M15" s="326"/>
      <c r="N15" s="326"/>
      <c r="O15" s="327"/>
      <c r="P15" s="290">
        <f t="shared" si="14"/>
        <v>0</v>
      </c>
      <c r="Q15" s="256" t="e">
        <f t="shared" si="8"/>
        <v>#N/A</v>
      </c>
      <c r="R15" s="251"/>
      <c r="S15" s="257">
        <f t="shared" si="15"/>
        <v>0</v>
      </c>
      <c r="T15" s="256" t="e">
        <f t="shared" si="9"/>
        <v>#N/A</v>
      </c>
      <c r="U15" s="258"/>
      <c r="V15" s="259" t="e">
        <f t="shared" si="10"/>
        <v>#N/A</v>
      </c>
      <c r="W15" s="259" t="e">
        <f t="shared" si="5"/>
        <v>#N/A</v>
      </c>
      <c r="X15" s="259" t="e">
        <f ca="1" t="shared" si="6"/>
        <v>#N/A</v>
      </c>
      <c r="Y15" s="259" t="e">
        <f t="shared" si="11"/>
        <v>#N/A</v>
      </c>
      <c r="Z15" s="259" t="e">
        <f t="shared" si="7"/>
        <v>#N/A</v>
      </c>
      <c r="AA15" s="258"/>
      <c r="AB15" s="258"/>
    </row>
    <row r="16" spans="1:41" ht="12.75" customHeight="1" thickBot="1">
      <c r="A16" s="297"/>
      <c r="B16" s="250">
        <v>9</v>
      </c>
      <c r="C16" s="315">
        <f>IF(OR($A16=0,$A16=" "),0,VLOOKUP($A16,eszamfak!$A$5:$M$99,3))</f>
        <v>0</v>
      </c>
      <c r="D16" s="251"/>
      <c r="E16" s="252" t="e">
        <f t="shared" si="13"/>
        <v>#N/A</v>
      </c>
      <c r="F16" s="253" t="e">
        <f t="shared" si="0"/>
        <v>#N/A</v>
      </c>
      <c r="G16" s="254" t="e">
        <f t="shared" si="1"/>
        <v>#N/A</v>
      </c>
      <c r="H16" s="255" t="e">
        <f t="shared" si="2"/>
        <v>#N/A</v>
      </c>
      <c r="I16" s="325"/>
      <c r="J16" s="326"/>
      <c r="K16" s="326"/>
      <c r="L16" s="326"/>
      <c r="M16" s="326"/>
      <c r="N16" s="326"/>
      <c r="O16" s="327"/>
      <c r="P16" s="290">
        <f t="shared" si="14"/>
        <v>0</v>
      </c>
      <c r="Q16" s="256" t="e">
        <f t="shared" si="8"/>
        <v>#N/A</v>
      </c>
      <c r="R16" s="251"/>
      <c r="S16" s="257">
        <f t="shared" si="15"/>
        <v>0</v>
      </c>
      <c r="T16" s="256" t="e">
        <f t="shared" si="9"/>
        <v>#N/A</v>
      </c>
      <c r="V16" s="259" t="e">
        <f t="shared" si="10"/>
        <v>#N/A</v>
      </c>
      <c r="W16" s="259" t="e">
        <f t="shared" si="5"/>
        <v>#N/A</v>
      </c>
      <c r="X16" s="259" t="e">
        <f ca="1" t="shared" si="6"/>
        <v>#N/A</v>
      </c>
      <c r="Y16" s="259" t="e">
        <f t="shared" si="11"/>
        <v>#N/A</v>
      </c>
      <c r="Z16" s="259" t="e">
        <f t="shared" si="7"/>
        <v>#N/A</v>
      </c>
      <c r="AC16" s="342" t="s">
        <v>268</v>
      </c>
      <c r="AD16" s="343"/>
      <c r="AE16" s="344"/>
      <c r="AF16" s="260">
        <f>SUM(AD18:AO18)</f>
        <v>0.98110752206875</v>
      </c>
      <c r="AG16" s="261" t="s">
        <v>267</v>
      </c>
      <c r="AH16" s="262" t="s">
        <v>142</v>
      </c>
      <c r="AI16" s="263"/>
      <c r="AJ16" s="243"/>
      <c r="AK16" s="243"/>
      <c r="AL16" s="243"/>
      <c r="AM16" s="243"/>
      <c r="AN16" s="243"/>
      <c r="AO16" s="243"/>
    </row>
    <row r="17" spans="1:47" ht="12.75" customHeight="1">
      <c r="A17" s="297"/>
      <c r="B17" s="250">
        <v>10</v>
      </c>
      <c r="C17" s="315">
        <f>IF(OR($A17=0,$A17=" "),0,VLOOKUP($A17,eszamfak!$A$5:$M$99,3))</f>
        <v>0</v>
      </c>
      <c r="D17" s="251"/>
      <c r="E17" s="252" t="e">
        <f t="shared" si="13"/>
        <v>#N/A</v>
      </c>
      <c r="F17" s="253" t="e">
        <f t="shared" si="0"/>
        <v>#N/A</v>
      </c>
      <c r="G17" s="254" t="e">
        <f t="shared" si="1"/>
        <v>#N/A</v>
      </c>
      <c r="H17" s="255" t="e">
        <f t="shared" si="2"/>
        <v>#N/A</v>
      </c>
      <c r="I17" s="325"/>
      <c r="J17" s="326"/>
      <c r="K17" s="326"/>
      <c r="L17" s="326"/>
      <c r="M17" s="326"/>
      <c r="N17" s="326"/>
      <c r="O17" s="327"/>
      <c r="P17" s="290">
        <f t="shared" si="14"/>
        <v>0</v>
      </c>
      <c r="Q17" s="256" t="e">
        <f t="shared" si="8"/>
        <v>#N/A</v>
      </c>
      <c r="R17" s="251"/>
      <c r="S17" s="257">
        <f t="shared" si="15"/>
        <v>0</v>
      </c>
      <c r="T17" s="256" t="e">
        <f t="shared" si="9"/>
        <v>#N/A</v>
      </c>
      <c r="V17" s="259" t="e">
        <f t="shared" si="10"/>
        <v>#N/A</v>
      </c>
      <c r="W17" s="259" t="e">
        <f t="shared" si="5"/>
        <v>#N/A</v>
      </c>
      <c r="X17" s="259" t="e">
        <f ca="1" t="shared" si="6"/>
        <v>#N/A</v>
      </c>
      <c r="Y17" s="259" t="e">
        <f t="shared" si="11"/>
        <v>#N/A</v>
      </c>
      <c r="Z17" s="259" t="e">
        <f t="shared" si="7"/>
        <v>#N/A</v>
      </c>
      <c r="AC17" s="266" t="s">
        <v>69</v>
      </c>
      <c r="AD17" s="267">
        <v>1</v>
      </c>
      <c r="AE17" s="267">
        <v>2</v>
      </c>
      <c r="AF17" s="267">
        <v>3</v>
      </c>
      <c r="AG17" s="267">
        <v>4</v>
      </c>
      <c r="AH17" s="268">
        <v>5</v>
      </c>
      <c r="AI17" s="267">
        <v>6</v>
      </c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</row>
    <row r="18" spans="1:47" ht="14.25">
      <c r="A18" s="297"/>
      <c r="B18" s="250">
        <v>11</v>
      </c>
      <c r="C18" s="315">
        <f>IF(OR($A18=0,$A18=" "),0,VLOOKUP($A18,eszamfak!$A$5:$M$99,3))</f>
        <v>0</v>
      </c>
      <c r="D18" s="251"/>
      <c r="E18" s="252" t="e">
        <f t="shared" si="13"/>
        <v>#N/A</v>
      </c>
      <c r="F18" s="253" t="e">
        <f t="shared" si="0"/>
        <v>#N/A</v>
      </c>
      <c r="G18" s="254" t="e">
        <f t="shared" si="1"/>
        <v>#N/A</v>
      </c>
      <c r="H18" s="255" t="e">
        <f t="shared" si="2"/>
        <v>#N/A</v>
      </c>
      <c r="I18" s="325"/>
      <c r="J18" s="326"/>
      <c r="K18" s="326"/>
      <c r="L18" s="326"/>
      <c r="M18" s="326"/>
      <c r="N18" s="326"/>
      <c r="O18" s="327"/>
      <c r="P18" s="290">
        <f t="shared" si="14"/>
        <v>0</v>
      </c>
      <c r="Q18" s="256" t="e">
        <f t="shared" si="8"/>
        <v>#N/A</v>
      </c>
      <c r="R18" s="251"/>
      <c r="S18" s="257">
        <f t="shared" si="15"/>
        <v>0</v>
      </c>
      <c r="T18" s="256" t="e">
        <f t="shared" si="9"/>
        <v>#N/A</v>
      </c>
      <c r="V18" s="259" t="e">
        <f t="shared" si="10"/>
        <v>#N/A</v>
      </c>
      <c r="W18" s="259" t="e">
        <f t="shared" si="5"/>
        <v>#N/A</v>
      </c>
      <c r="X18" s="259" t="e">
        <f ca="1" t="shared" si="6"/>
        <v>#N/A</v>
      </c>
      <c r="Y18" s="259" t="e">
        <f t="shared" si="11"/>
        <v>#N/A</v>
      </c>
      <c r="Z18" s="259" t="e">
        <f t="shared" si="7"/>
        <v>#N/A</v>
      </c>
      <c r="AB18" s="324">
        <f>MATCH(MAX(AB21,AB23,AB25,AB27,AB29,AB31,AB33,AB35,AB37,AB39),AB20:AB39,0)/2</f>
        <v>1</v>
      </c>
      <c r="AC18" s="270" t="s">
        <v>70</v>
      </c>
      <c r="AD18" s="271">
        <f>IF(OR(AD17="",AD17=0),"",VLOOKUP(AD17,$B$8:$T$107,19))</f>
        <v>0.16395549462500003</v>
      </c>
      <c r="AE18" s="271">
        <f aca="true" t="shared" si="17" ref="AE18:AO18">IF(OR(AE17="",AE17=0),"",VLOOKUP(AE17,$B$8:$T$107,19))</f>
        <v>0.129019494625</v>
      </c>
      <c r="AF18" s="271">
        <f t="shared" si="17"/>
        <v>0.24166050121875002</v>
      </c>
      <c r="AG18" s="271">
        <f t="shared" si="17"/>
        <v>0.12548859</v>
      </c>
      <c r="AH18" s="271">
        <f t="shared" si="17"/>
        <v>0.21499164159999998</v>
      </c>
      <c r="AI18" s="271">
        <f t="shared" si="17"/>
        <v>0.1059918</v>
      </c>
      <c r="AJ18" s="271">
        <f t="shared" si="17"/>
      </c>
      <c r="AK18" s="271">
        <f t="shared" si="17"/>
      </c>
      <c r="AL18" s="271">
        <f t="shared" si="17"/>
      </c>
      <c r="AM18" s="271">
        <f t="shared" si="17"/>
      </c>
      <c r="AN18" s="271">
        <f t="shared" si="17"/>
      </c>
      <c r="AO18" s="271">
        <f t="shared" si="17"/>
      </c>
      <c r="AP18" s="271">
        <f aca="true" t="shared" si="18" ref="AP18:AU18">IF(OR(AP17="",AP17=0),"",VLOOKUP(AP17,$B$8:$T$107,19))</f>
      </c>
      <c r="AQ18" s="271">
        <f t="shared" si="18"/>
      </c>
      <c r="AR18" s="271">
        <f t="shared" si="18"/>
      </c>
      <c r="AS18" s="271">
        <f t="shared" si="18"/>
      </c>
      <c r="AT18" s="271">
        <f t="shared" si="18"/>
      </c>
      <c r="AU18" s="271">
        <f t="shared" si="18"/>
      </c>
    </row>
    <row r="19" spans="1:47" ht="12.75">
      <c r="A19" s="297"/>
      <c r="B19" s="250">
        <v>12</v>
      </c>
      <c r="C19" s="315">
        <f>IF(OR($A19=0,$A19=" "),0,VLOOKUP($A19,eszamfak!$A$5:$M$99,3))</f>
        <v>0</v>
      </c>
      <c r="D19" s="251"/>
      <c r="E19" s="252" t="e">
        <f t="shared" si="13"/>
        <v>#N/A</v>
      </c>
      <c r="F19" s="253" t="e">
        <f t="shared" si="0"/>
        <v>#N/A</v>
      </c>
      <c r="G19" s="254" t="e">
        <f t="shared" si="1"/>
        <v>#N/A</v>
      </c>
      <c r="H19" s="255" t="e">
        <f t="shared" si="2"/>
        <v>#N/A</v>
      </c>
      <c r="I19" s="325"/>
      <c r="J19" s="326"/>
      <c r="K19" s="326"/>
      <c r="L19" s="326"/>
      <c r="M19" s="326"/>
      <c r="N19" s="326"/>
      <c r="O19" s="327"/>
      <c r="P19" s="290">
        <f t="shared" si="14"/>
        <v>0</v>
      </c>
      <c r="Q19" s="256" t="e">
        <f t="shared" si="8"/>
        <v>#N/A</v>
      </c>
      <c r="R19" s="251"/>
      <c r="S19" s="257">
        <f t="shared" si="15"/>
        <v>0</v>
      </c>
      <c r="T19" s="256" t="e">
        <f t="shared" si="9"/>
        <v>#N/A</v>
      </c>
      <c r="V19" s="259" t="e">
        <f t="shared" si="10"/>
        <v>#N/A</v>
      </c>
      <c r="W19" s="259" t="e">
        <f t="shared" si="5"/>
        <v>#N/A</v>
      </c>
      <c r="X19" s="259" t="e">
        <f ca="1" t="shared" si="6"/>
        <v>#N/A</v>
      </c>
      <c r="Y19" s="259" t="e">
        <f t="shared" si="11"/>
        <v>#N/A</v>
      </c>
      <c r="Z19" s="259" t="e">
        <f t="shared" si="7"/>
        <v>#N/A</v>
      </c>
      <c r="AC19" s="317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</row>
    <row r="20" spans="1:47" ht="12.75">
      <c r="A20" s="297"/>
      <c r="B20" s="250">
        <v>13</v>
      </c>
      <c r="C20" s="315">
        <f>IF(OR($A20=0,$A20=" "),0,VLOOKUP($A20,eszamfak!$A$5:$M$99,3))</f>
        <v>0</v>
      </c>
      <c r="D20" s="251"/>
      <c r="E20" s="252" t="e">
        <f aca="true" t="shared" si="19" ref="E20:E59">IF(VLOOKUP(C20,din15,2)&lt;$AC$4,15,IF(VLOOKUP(C20,din20,2)&lt;$AC$4,20,IF(VLOOKUP(C20,din25,2)&lt;$AC$4,25,IF(VLOOKUP(C20,din32,2)&lt;$AC$4,32,IF(VLOOKUP(C20,din40,2)&lt;$AC$4,40,IF(VLOOKUP(C20,din50,2)&lt;$AC$4,50,IF(VLOOKUP(C20,din65,2)&lt;$AC$4,65,"")))))))</f>
        <v>#N/A</v>
      </c>
      <c r="F20" s="253" t="e">
        <f t="shared" si="0"/>
        <v>#N/A</v>
      </c>
      <c r="G20" s="254" t="e">
        <f t="shared" si="1"/>
        <v>#N/A</v>
      </c>
      <c r="H20" s="255" t="e">
        <f t="shared" si="2"/>
        <v>#N/A</v>
      </c>
      <c r="I20" s="325"/>
      <c r="J20" s="326"/>
      <c r="K20" s="326"/>
      <c r="L20" s="326"/>
      <c r="M20" s="326"/>
      <c r="N20" s="326"/>
      <c r="O20" s="327"/>
      <c r="P20" s="290">
        <f t="shared" si="14"/>
        <v>0</v>
      </c>
      <c r="Q20" s="256" t="e">
        <f t="shared" si="8"/>
        <v>#N/A</v>
      </c>
      <c r="R20" s="251"/>
      <c r="S20" s="257">
        <f t="shared" si="15"/>
        <v>0</v>
      </c>
      <c r="T20" s="256" t="e">
        <f t="shared" si="9"/>
        <v>#N/A</v>
      </c>
      <c r="V20" s="259" t="e">
        <f t="shared" si="10"/>
        <v>#N/A</v>
      </c>
      <c r="W20" s="259" t="e">
        <f t="shared" si="5"/>
        <v>#N/A</v>
      </c>
      <c r="X20" s="259" t="e">
        <f ca="1" t="shared" si="6"/>
        <v>#N/A</v>
      </c>
      <c r="Y20" s="259" t="e">
        <f t="shared" si="11"/>
        <v>#N/A</v>
      </c>
      <c r="Z20" s="259" t="e">
        <f t="shared" si="7"/>
        <v>#N/A</v>
      </c>
      <c r="AB20" s="322">
        <v>1</v>
      </c>
      <c r="AC20" s="323" t="s">
        <v>69</v>
      </c>
      <c r="AD20" s="319">
        <v>1</v>
      </c>
      <c r="AE20" s="319">
        <v>2</v>
      </c>
      <c r="AF20" s="319">
        <v>3</v>
      </c>
      <c r="AG20" s="319">
        <v>4</v>
      </c>
      <c r="AH20" s="320">
        <v>5</v>
      </c>
      <c r="AI20" s="319">
        <v>6</v>
      </c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</row>
    <row r="21" spans="1:47" ht="14.25">
      <c r="A21" s="297"/>
      <c r="B21" s="250">
        <v>14</v>
      </c>
      <c r="C21" s="315">
        <f>IF(OR($A21=0,$A21=" "),0,VLOOKUP($A21,eszamfak!$A$5:$M$99,3))</f>
        <v>0</v>
      </c>
      <c r="D21" s="251"/>
      <c r="E21" s="252" t="e">
        <f t="shared" si="19"/>
        <v>#N/A</v>
      </c>
      <c r="F21" s="253" t="e">
        <f t="shared" si="0"/>
        <v>#N/A</v>
      </c>
      <c r="G21" s="254" t="e">
        <f t="shared" si="1"/>
        <v>#N/A</v>
      </c>
      <c r="H21" s="255" t="e">
        <f t="shared" si="2"/>
        <v>#N/A</v>
      </c>
      <c r="I21" s="325"/>
      <c r="J21" s="326"/>
      <c r="K21" s="326"/>
      <c r="L21" s="326"/>
      <c r="M21" s="326"/>
      <c r="N21" s="326"/>
      <c r="O21" s="327"/>
      <c r="P21" s="290">
        <f t="shared" si="14"/>
        <v>0</v>
      </c>
      <c r="Q21" s="256" t="e">
        <f t="shared" si="8"/>
        <v>#N/A</v>
      </c>
      <c r="R21" s="251"/>
      <c r="S21" s="257">
        <f t="shared" si="15"/>
        <v>0</v>
      </c>
      <c r="T21" s="256" t="e">
        <f t="shared" si="9"/>
        <v>#N/A</v>
      </c>
      <c r="V21" s="259" t="e">
        <f t="shared" si="10"/>
        <v>#N/A</v>
      </c>
      <c r="W21" s="259" t="e">
        <f t="shared" si="5"/>
        <v>#N/A</v>
      </c>
      <c r="X21" s="259" t="e">
        <f ca="1" t="shared" si="6"/>
        <v>#N/A</v>
      </c>
      <c r="Y21" s="259" t="e">
        <f t="shared" si="11"/>
        <v>#N/A</v>
      </c>
      <c r="Z21" s="259" t="e">
        <f t="shared" si="7"/>
        <v>#N/A</v>
      </c>
      <c r="AB21" s="241">
        <f>SUM(AD21:AU21)</f>
        <v>0.98110752206875</v>
      </c>
      <c r="AC21" s="270" t="s">
        <v>70</v>
      </c>
      <c r="AD21" s="271">
        <f aca="true" t="shared" si="20" ref="AD21:AU21">IF(OR(AD20="",AD20=0),"",VLOOKUP(AD20,$B$8:$T$107,19))</f>
        <v>0.16395549462500003</v>
      </c>
      <c r="AE21" s="271">
        <f t="shared" si="20"/>
        <v>0.129019494625</v>
      </c>
      <c r="AF21" s="271">
        <f t="shared" si="20"/>
        <v>0.24166050121875002</v>
      </c>
      <c r="AG21" s="271">
        <f t="shared" si="20"/>
        <v>0.12548859</v>
      </c>
      <c r="AH21" s="271">
        <f t="shared" si="20"/>
        <v>0.21499164159999998</v>
      </c>
      <c r="AI21" s="271">
        <f t="shared" si="20"/>
        <v>0.1059918</v>
      </c>
      <c r="AJ21" s="271">
        <f t="shared" si="20"/>
      </c>
      <c r="AK21" s="271">
        <f t="shared" si="20"/>
      </c>
      <c r="AL21" s="271">
        <f t="shared" si="20"/>
      </c>
      <c r="AM21" s="271">
        <f t="shared" si="20"/>
      </c>
      <c r="AN21" s="271">
        <f t="shared" si="20"/>
      </c>
      <c r="AO21" s="271">
        <f t="shared" si="20"/>
      </c>
      <c r="AP21" s="271">
        <f t="shared" si="20"/>
      </c>
      <c r="AQ21" s="271">
        <f t="shared" si="20"/>
      </c>
      <c r="AR21" s="271">
        <f t="shared" si="20"/>
      </c>
      <c r="AS21" s="271">
        <f t="shared" si="20"/>
      </c>
      <c r="AT21" s="271">
        <f t="shared" si="20"/>
      </c>
      <c r="AU21" s="271">
        <f t="shared" si="20"/>
      </c>
    </row>
    <row r="22" spans="1:47" ht="12.75">
      <c r="A22" s="297"/>
      <c r="B22" s="250">
        <v>15</v>
      </c>
      <c r="C22" s="315">
        <f>IF(OR($A22=0,$A22=" "),0,VLOOKUP($A22,eszamfak!$A$5:$M$99,3))</f>
        <v>0</v>
      </c>
      <c r="D22" s="251"/>
      <c r="E22" s="252" t="e">
        <f t="shared" si="19"/>
        <v>#N/A</v>
      </c>
      <c r="F22" s="253" t="e">
        <f t="shared" si="0"/>
        <v>#N/A</v>
      </c>
      <c r="G22" s="254" t="e">
        <f t="shared" si="1"/>
        <v>#N/A</v>
      </c>
      <c r="H22" s="255" t="e">
        <f t="shared" si="2"/>
        <v>#N/A</v>
      </c>
      <c r="I22" s="325"/>
      <c r="J22" s="326"/>
      <c r="K22" s="326"/>
      <c r="L22" s="326"/>
      <c r="M22" s="326"/>
      <c r="N22" s="326"/>
      <c r="O22" s="327"/>
      <c r="P22" s="290">
        <f t="shared" si="14"/>
        <v>0</v>
      </c>
      <c r="Q22" s="256" t="e">
        <f t="shared" si="8"/>
        <v>#N/A</v>
      </c>
      <c r="R22" s="251"/>
      <c r="S22" s="257">
        <f t="shared" si="15"/>
        <v>0</v>
      </c>
      <c r="T22" s="256" t="e">
        <f t="shared" si="9"/>
        <v>#N/A</v>
      </c>
      <c r="V22" s="259" t="e">
        <f t="shared" si="10"/>
        <v>#N/A</v>
      </c>
      <c r="W22" s="259" t="e">
        <f t="shared" si="5"/>
        <v>#N/A</v>
      </c>
      <c r="X22" s="259" t="e">
        <f ca="1" t="shared" si="6"/>
        <v>#N/A</v>
      </c>
      <c r="Y22" s="259" t="e">
        <f t="shared" si="11"/>
        <v>#N/A</v>
      </c>
      <c r="Z22" s="259" t="e">
        <f t="shared" si="7"/>
        <v>#N/A</v>
      </c>
      <c r="AB22" s="322">
        <v>2</v>
      </c>
      <c r="AC22" s="323" t="s">
        <v>69</v>
      </c>
      <c r="AD22" s="319"/>
      <c r="AE22" s="319"/>
      <c r="AF22" s="319"/>
      <c r="AG22" s="319"/>
      <c r="AH22" s="320"/>
      <c r="AI22" s="319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</row>
    <row r="23" spans="1:47" ht="14.25">
      <c r="A23" s="297"/>
      <c r="B23" s="250">
        <v>16</v>
      </c>
      <c r="C23" s="315">
        <f>IF(OR($A23=0,$A23=" "),0,VLOOKUP($A23,eszamfak!$A$5:$M$99,3))</f>
        <v>0</v>
      </c>
      <c r="D23" s="251"/>
      <c r="E23" s="252" t="e">
        <f t="shared" si="19"/>
        <v>#N/A</v>
      </c>
      <c r="F23" s="253" t="e">
        <f t="shared" si="0"/>
        <v>#N/A</v>
      </c>
      <c r="G23" s="254" t="e">
        <f t="shared" si="1"/>
        <v>#N/A</v>
      </c>
      <c r="H23" s="255" t="e">
        <f t="shared" si="2"/>
        <v>#N/A</v>
      </c>
      <c r="I23" s="325"/>
      <c r="J23" s="326"/>
      <c r="K23" s="326"/>
      <c r="L23" s="326"/>
      <c r="M23" s="326"/>
      <c r="N23" s="326"/>
      <c r="O23" s="327"/>
      <c r="P23" s="290">
        <f t="shared" si="14"/>
        <v>0</v>
      </c>
      <c r="Q23" s="256" t="e">
        <f t="shared" si="8"/>
        <v>#N/A</v>
      </c>
      <c r="R23" s="251"/>
      <c r="S23" s="257">
        <f t="shared" si="15"/>
        <v>0</v>
      </c>
      <c r="T23" s="256" t="e">
        <f t="shared" si="9"/>
        <v>#N/A</v>
      </c>
      <c r="V23" s="259" t="e">
        <f t="shared" si="10"/>
        <v>#N/A</v>
      </c>
      <c r="W23" s="259" t="e">
        <f t="shared" si="5"/>
        <v>#N/A</v>
      </c>
      <c r="X23" s="259" t="e">
        <f ca="1" t="shared" si="6"/>
        <v>#N/A</v>
      </c>
      <c r="Y23" s="259" t="e">
        <f t="shared" si="11"/>
        <v>#N/A</v>
      </c>
      <c r="Z23" s="259" t="e">
        <f t="shared" si="7"/>
        <v>#N/A</v>
      </c>
      <c r="AB23" s="241">
        <f>SUM(AD23:AU23)</f>
        <v>0</v>
      </c>
      <c r="AC23" s="270" t="s">
        <v>70</v>
      </c>
      <c r="AD23" s="271">
        <f aca="true" t="shared" si="21" ref="AD23:AU23">IF(OR(AD22="",AD22=0),"",VLOOKUP(AD22,$B$8:$T$107,19))</f>
      </c>
      <c r="AE23" s="271">
        <f t="shared" si="21"/>
      </c>
      <c r="AF23" s="271">
        <f t="shared" si="21"/>
      </c>
      <c r="AG23" s="271">
        <f t="shared" si="21"/>
      </c>
      <c r="AH23" s="271">
        <f t="shared" si="21"/>
      </c>
      <c r="AI23" s="271">
        <f t="shared" si="21"/>
      </c>
      <c r="AJ23" s="271">
        <f t="shared" si="21"/>
      </c>
      <c r="AK23" s="271">
        <f t="shared" si="21"/>
      </c>
      <c r="AL23" s="271">
        <f t="shared" si="21"/>
      </c>
      <c r="AM23" s="271">
        <f t="shared" si="21"/>
      </c>
      <c r="AN23" s="271">
        <f t="shared" si="21"/>
      </c>
      <c r="AO23" s="271">
        <f t="shared" si="21"/>
      </c>
      <c r="AP23" s="271">
        <f t="shared" si="21"/>
      </c>
      <c r="AQ23" s="271">
        <f t="shared" si="21"/>
      </c>
      <c r="AR23" s="271">
        <f t="shared" si="21"/>
      </c>
      <c r="AS23" s="271">
        <f t="shared" si="21"/>
      </c>
      <c r="AT23" s="271">
        <f t="shared" si="21"/>
      </c>
      <c r="AU23" s="271">
        <f t="shared" si="21"/>
      </c>
    </row>
    <row r="24" spans="1:47" ht="12.75">
      <c r="A24" s="297"/>
      <c r="B24" s="250">
        <v>17</v>
      </c>
      <c r="C24" s="315">
        <f>IF(OR($A24=0,$A24=" "),0,VLOOKUP($A24,eszamfak!$A$5:$M$99,3))</f>
        <v>0</v>
      </c>
      <c r="D24" s="251"/>
      <c r="E24" s="252" t="e">
        <f t="shared" si="19"/>
        <v>#N/A</v>
      </c>
      <c r="F24" s="253" t="e">
        <f t="shared" si="0"/>
        <v>#N/A</v>
      </c>
      <c r="G24" s="254" t="e">
        <f t="shared" si="1"/>
        <v>#N/A</v>
      </c>
      <c r="H24" s="255" t="e">
        <f t="shared" si="2"/>
        <v>#N/A</v>
      </c>
      <c r="I24" s="325"/>
      <c r="J24" s="326"/>
      <c r="K24" s="326"/>
      <c r="L24" s="326"/>
      <c r="M24" s="326"/>
      <c r="N24" s="326"/>
      <c r="O24" s="327"/>
      <c r="P24" s="290">
        <f t="shared" si="14"/>
        <v>0</v>
      </c>
      <c r="Q24" s="256" t="e">
        <f t="shared" si="8"/>
        <v>#N/A</v>
      </c>
      <c r="R24" s="251"/>
      <c r="S24" s="257">
        <f t="shared" si="15"/>
        <v>0</v>
      </c>
      <c r="T24" s="256" t="e">
        <f t="shared" si="9"/>
        <v>#N/A</v>
      </c>
      <c r="V24" s="259" t="e">
        <f t="shared" si="10"/>
        <v>#N/A</v>
      </c>
      <c r="W24" s="259" t="e">
        <f t="shared" si="5"/>
        <v>#N/A</v>
      </c>
      <c r="X24" s="259" t="e">
        <f ca="1" t="shared" si="6"/>
        <v>#N/A</v>
      </c>
      <c r="Y24" s="259" t="e">
        <f t="shared" si="11"/>
        <v>#N/A</v>
      </c>
      <c r="Z24" s="259" t="e">
        <f t="shared" si="7"/>
        <v>#N/A</v>
      </c>
      <c r="AB24" s="322">
        <v>3</v>
      </c>
      <c r="AC24" s="323" t="s">
        <v>69</v>
      </c>
      <c r="AD24" s="319"/>
      <c r="AE24" s="319"/>
      <c r="AF24" s="319"/>
      <c r="AG24" s="319"/>
      <c r="AH24" s="320"/>
      <c r="AI24" s="319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</row>
    <row r="25" spans="1:47" ht="14.25">
      <c r="A25" s="297"/>
      <c r="B25" s="250">
        <v>18</v>
      </c>
      <c r="C25" s="315">
        <f>IF(OR($A25=0,$A25=" "),0,VLOOKUP($A25,eszamfak!$A$5:$M$99,3))</f>
        <v>0</v>
      </c>
      <c r="D25" s="251"/>
      <c r="E25" s="252" t="e">
        <f t="shared" si="19"/>
        <v>#N/A</v>
      </c>
      <c r="F25" s="253" t="e">
        <f t="shared" si="0"/>
        <v>#N/A</v>
      </c>
      <c r="G25" s="254" t="e">
        <f t="shared" si="1"/>
        <v>#N/A</v>
      </c>
      <c r="H25" s="255" t="e">
        <f t="shared" si="2"/>
        <v>#N/A</v>
      </c>
      <c r="I25" s="325"/>
      <c r="J25" s="326"/>
      <c r="K25" s="326"/>
      <c r="L25" s="326"/>
      <c r="M25" s="326"/>
      <c r="N25" s="326"/>
      <c r="O25" s="327"/>
      <c r="P25" s="290">
        <f t="shared" si="14"/>
        <v>0</v>
      </c>
      <c r="Q25" s="256" t="e">
        <f t="shared" si="8"/>
        <v>#N/A</v>
      </c>
      <c r="R25" s="251"/>
      <c r="S25" s="257">
        <f t="shared" si="15"/>
        <v>0</v>
      </c>
      <c r="T25" s="256" t="e">
        <f t="shared" si="9"/>
        <v>#N/A</v>
      </c>
      <c r="V25" s="259" t="e">
        <f t="shared" si="10"/>
        <v>#N/A</v>
      </c>
      <c r="W25" s="259" t="e">
        <f t="shared" si="5"/>
        <v>#N/A</v>
      </c>
      <c r="X25" s="259" t="e">
        <f ca="1" t="shared" si="6"/>
        <v>#N/A</v>
      </c>
      <c r="Y25" s="259" t="e">
        <f t="shared" si="11"/>
        <v>#N/A</v>
      </c>
      <c r="Z25" s="259" t="e">
        <f t="shared" si="7"/>
        <v>#N/A</v>
      </c>
      <c r="AB25" s="241">
        <f>SUM(AD25:AU25)</f>
        <v>0</v>
      </c>
      <c r="AC25" s="270" t="s">
        <v>70</v>
      </c>
      <c r="AD25" s="271">
        <f aca="true" t="shared" si="22" ref="AD25:AU25">IF(OR(AD24="",AD24=0),"",VLOOKUP(AD24,$B$8:$T$107,19))</f>
      </c>
      <c r="AE25" s="271">
        <f t="shared" si="22"/>
      </c>
      <c r="AF25" s="271">
        <f t="shared" si="22"/>
      </c>
      <c r="AG25" s="271">
        <f t="shared" si="22"/>
      </c>
      <c r="AH25" s="271">
        <f t="shared" si="22"/>
      </c>
      <c r="AI25" s="271">
        <f t="shared" si="22"/>
      </c>
      <c r="AJ25" s="271">
        <f t="shared" si="22"/>
      </c>
      <c r="AK25" s="271">
        <f t="shared" si="22"/>
      </c>
      <c r="AL25" s="271">
        <f t="shared" si="22"/>
      </c>
      <c r="AM25" s="271">
        <f t="shared" si="22"/>
      </c>
      <c r="AN25" s="271">
        <f t="shared" si="22"/>
      </c>
      <c r="AO25" s="271">
        <f t="shared" si="22"/>
      </c>
      <c r="AP25" s="271">
        <f t="shared" si="22"/>
      </c>
      <c r="AQ25" s="271">
        <f t="shared" si="22"/>
      </c>
      <c r="AR25" s="271">
        <f t="shared" si="22"/>
      </c>
      <c r="AS25" s="271">
        <f t="shared" si="22"/>
      </c>
      <c r="AT25" s="271">
        <f t="shared" si="22"/>
      </c>
      <c r="AU25" s="271">
        <f t="shared" si="22"/>
      </c>
    </row>
    <row r="26" spans="1:47" ht="12.75">
      <c r="A26" s="297"/>
      <c r="B26" s="250">
        <v>19</v>
      </c>
      <c r="C26" s="315">
        <f>IF(OR($A26=0,$A26=" "),0,VLOOKUP($A26,eszamfak!$A$5:$M$99,3))</f>
        <v>0</v>
      </c>
      <c r="D26" s="251"/>
      <c r="E26" s="252" t="e">
        <f t="shared" si="19"/>
        <v>#N/A</v>
      </c>
      <c r="F26" s="253" t="e">
        <f t="shared" si="0"/>
        <v>#N/A</v>
      </c>
      <c r="G26" s="254" t="e">
        <f t="shared" si="1"/>
        <v>#N/A</v>
      </c>
      <c r="H26" s="255" t="e">
        <f t="shared" si="2"/>
        <v>#N/A</v>
      </c>
      <c r="I26" s="325"/>
      <c r="J26" s="326"/>
      <c r="K26" s="326"/>
      <c r="L26" s="326"/>
      <c r="M26" s="326"/>
      <c r="N26" s="326"/>
      <c r="O26" s="327"/>
      <c r="P26" s="290">
        <f t="shared" si="14"/>
        <v>0</v>
      </c>
      <c r="Q26" s="256" t="e">
        <f t="shared" si="8"/>
        <v>#N/A</v>
      </c>
      <c r="R26" s="251"/>
      <c r="S26" s="257">
        <f t="shared" si="15"/>
        <v>0</v>
      </c>
      <c r="T26" s="256" t="e">
        <f t="shared" si="9"/>
        <v>#N/A</v>
      </c>
      <c r="V26" s="259" t="e">
        <f t="shared" si="10"/>
        <v>#N/A</v>
      </c>
      <c r="W26" s="259" t="e">
        <f t="shared" si="5"/>
        <v>#N/A</v>
      </c>
      <c r="X26" s="259" t="e">
        <f ca="1" t="shared" si="6"/>
        <v>#N/A</v>
      </c>
      <c r="Y26" s="259" t="e">
        <f t="shared" si="11"/>
        <v>#N/A</v>
      </c>
      <c r="Z26" s="259" t="e">
        <f t="shared" si="7"/>
        <v>#N/A</v>
      </c>
      <c r="AB26" s="322">
        <v>4</v>
      </c>
      <c r="AC26" s="323" t="s">
        <v>69</v>
      </c>
      <c r="AD26" s="319"/>
      <c r="AE26" s="319"/>
      <c r="AF26" s="319"/>
      <c r="AG26" s="319"/>
      <c r="AH26" s="320"/>
      <c r="AI26" s="319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</row>
    <row r="27" spans="1:47" ht="14.25">
      <c r="A27" s="297"/>
      <c r="B27" s="250">
        <v>20</v>
      </c>
      <c r="C27" s="315">
        <f>IF(OR($A27=0,$A27=" "),0,VLOOKUP($A27,eszamfak!$A$5:$M$99,3))</f>
        <v>0</v>
      </c>
      <c r="D27" s="251"/>
      <c r="E27" s="252" t="e">
        <f t="shared" si="19"/>
        <v>#N/A</v>
      </c>
      <c r="F27" s="253" t="e">
        <f t="shared" si="0"/>
        <v>#N/A</v>
      </c>
      <c r="G27" s="254" t="e">
        <f t="shared" si="1"/>
        <v>#N/A</v>
      </c>
      <c r="H27" s="255" t="e">
        <f t="shared" si="2"/>
        <v>#N/A</v>
      </c>
      <c r="I27" s="325"/>
      <c r="J27" s="326"/>
      <c r="K27" s="326"/>
      <c r="L27" s="326"/>
      <c r="M27" s="326"/>
      <c r="N27" s="326"/>
      <c r="O27" s="327"/>
      <c r="P27" s="290">
        <f t="shared" si="14"/>
        <v>0</v>
      </c>
      <c r="Q27" s="256" t="e">
        <f t="shared" si="8"/>
        <v>#N/A</v>
      </c>
      <c r="R27" s="251"/>
      <c r="S27" s="257">
        <f t="shared" si="15"/>
        <v>0</v>
      </c>
      <c r="T27" s="256" t="e">
        <f t="shared" si="9"/>
        <v>#N/A</v>
      </c>
      <c r="V27" s="259" t="e">
        <f t="shared" si="10"/>
        <v>#N/A</v>
      </c>
      <c r="W27" s="259" t="e">
        <f t="shared" si="5"/>
        <v>#N/A</v>
      </c>
      <c r="X27" s="259" t="e">
        <f ca="1" t="shared" si="6"/>
        <v>#N/A</v>
      </c>
      <c r="Y27" s="259" t="e">
        <f t="shared" si="11"/>
        <v>#N/A</v>
      </c>
      <c r="Z27" s="259" t="e">
        <f t="shared" si="7"/>
        <v>#N/A</v>
      </c>
      <c r="AB27" s="241">
        <f>SUM(AD27:AU27)</f>
        <v>0</v>
      </c>
      <c r="AC27" s="270" t="s">
        <v>70</v>
      </c>
      <c r="AD27" s="271">
        <f aca="true" t="shared" si="23" ref="AD27:AU27">IF(OR(AD26="",AD26=0),"",VLOOKUP(AD26,$B$8:$T$107,19))</f>
      </c>
      <c r="AE27" s="271">
        <f t="shared" si="23"/>
      </c>
      <c r="AF27" s="271">
        <f t="shared" si="23"/>
      </c>
      <c r="AG27" s="271">
        <f t="shared" si="23"/>
      </c>
      <c r="AH27" s="271">
        <f t="shared" si="23"/>
      </c>
      <c r="AI27" s="271">
        <f t="shared" si="23"/>
      </c>
      <c r="AJ27" s="271">
        <f t="shared" si="23"/>
      </c>
      <c r="AK27" s="271">
        <f t="shared" si="23"/>
      </c>
      <c r="AL27" s="271">
        <f t="shared" si="23"/>
      </c>
      <c r="AM27" s="271">
        <f t="shared" si="23"/>
      </c>
      <c r="AN27" s="271">
        <f t="shared" si="23"/>
      </c>
      <c r="AO27" s="271">
        <f t="shared" si="23"/>
      </c>
      <c r="AP27" s="271">
        <f t="shared" si="23"/>
      </c>
      <c r="AQ27" s="271">
        <f t="shared" si="23"/>
      </c>
      <c r="AR27" s="271">
        <f t="shared" si="23"/>
      </c>
      <c r="AS27" s="271">
        <f t="shared" si="23"/>
      </c>
      <c r="AT27" s="271">
        <f t="shared" si="23"/>
      </c>
      <c r="AU27" s="271">
        <f t="shared" si="23"/>
      </c>
    </row>
    <row r="28" spans="1:47" ht="12.75" outlineLevel="1">
      <c r="A28" s="297"/>
      <c r="B28" s="250">
        <v>21</v>
      </c>
      <c r="C28" s="315">
        <f>IF(OR($A28=0,$A28=" "),0,VLOOKUP($A28,eszamfak!$A$5:$M$99,3))</f>
        <v>0</v>
      </c>
      <c r="D28" s="251"/>
      <c r="E28" s="252" t="e">
        <f t="shared" si="19"/>
        <v>#N/A</v>
      </c>
      <c r="F28" s="253" t="e">
        <f t="shared" si="0"/>
        <v>#N/A</v>
      </c>
      <c r="G28" s="254" t="e">
        <f t="shared" si="1"/>
        <v>#N/A</v>
      </c>
      <c r="H28" s="255" t="e">
        <f t="shared" si="2"/>
        <v>#N/A</v>
      </c>
      <c r="I28" s="325"/>
      <c r="J28" s="326"/>
      <c r="K28" s="326"/>
      <c r="L28" s="326"/>
      <c r="M28" s="326"/>
      <c r="N28" s="326"/>
      <c r="O28" s="327"/>
      <c r="P28" s="290">
        <f t="shared" si="14"/>
        <v>0</v>
      </c>
      <c r="Q28" s="256" t="e">
        <f t="shared" si="8"/>
        <v>#N/A</v>
      </c>
      <c r="R28" s="251"/>
      <c r="S28" s="257">
        <f t="shared" si="15"/>
        <v>0</v>
      </c>
      <c r="T28" s="256" t="e">
        <f t="shared" si="9"/>
        <v>#N/A</v>
      </c>
      <c r="V28" s="259" t="e">
        <f t="shared" si="10"/>
        <v>#N/A</v>
      </c>
      <c r="W28" s="259" t="e">
        <f t="shared" si="5"/>
        <v>#N/A</v>
      </c>
      <c r="X28" s="259" t="e">
        <f ca="1" t="shared" si="6"/>
        <v>#N/A</v>
      </c>
      <c r="Y28" s="259" t="e">
        <f t="shared" si="11"/>
        <v>#N/A</v>
      </c>
      <c r="Z28" s="259" t="e">
        <f t="shared" si="7"/>
        <v>#N/A</v>
      </c>
      <c r="AB28" s="322">
        <v>5</v>
      </c>
      <c r="AC28" s="323" t="s">
        <v>69</v>
      </c>
      <c r="AD28" s="319"/>
      <c r="AE28" s="319"/>
      <c r="AF28" s="319"/>
      <c r="AG28" s="319"/>
      <c r="AH28" s="320"/>
      <c r="AI28" s="319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</row>
    <row r="29" spans="1:47" ht="14.25" outlineLevel="1">
      <c r="A29" s="297"/>
      <c r="B29" s="250">
        <v>22</v>
      </c>
      <c r="C29" s="315">
        <f>IF(OR($A29=0,$A29=" "),0,VLOOKUP($A29,eszamfak!$A$5:$M$99,3))</f>
        <v>0</v>
      </c>
      <c r="D29" s="251"/>
      <c r="E29" s="252" t="e">
        <f t="shared" si="19"/>
        <v>#N/A</v>
      </c>
      <c r="F29" s="253" t="e">
        <f t="shared" si="0"/>
        <v>#N/A</v>
      </c>
      <c r="G29" s="254" t="e">
        <f t="shared" si="1"/>
        <v>#N/A</v>
      </c>
      <c r="H29" s="255" t="e">
        <f t="shared" si="2"/>
        <v>#N/A</v>
      </c>
      <c r="I29" s="325"/>
      <c r="J29" s="326"/>
      <c r="K29" s="326"/>
      <c r="L29" s="326"/>
      <c r="M29" s="326"/>
      <c r="N29" s="326"/>
      <c r="O29" s="327"/>
      <c r="P29" s="290">
        <f t="shared" si="14"/>
        <v>0</v>
      </c>
      <c r="Q29" s="256" t="e">
        <f t="shared" si="8"/>
        <v>#N/A</v>
      </c>
      <c r="R29" s="251"/>
      <c r="S29" s="257">
        <f t="shared" si="15"/>
        <v>0</v>
      </c>
      <c r="T29" s="256" t="e">
        <f t="shared" si="9"/>
        <v>#N/A</v>
      </c>
      <c r="V29" s="259" t="e">
        <f t="shared" si="10"/>
        <v>#N/A</v>
      </c>
      <c r="W29" s="259" t="e">
        <f t="shared" si="5"/>
        <v>#N/A</v>
      </c>
      <c r="X29" s="259" t="e">
        <f ca="1" t="shared" si="6"/>
        <v>#N/A</v>
      </c>
      <c r="Y29" s="259" t="e">
        <f t="shared" si="11"/>
        <v>#N/A</v>
      </c>
      <c r="Z29" s="259" t="e">
        <f t="shared" si="7"/>
        <v>#N/A</v>
      </c>
      <c r="AB29" s="241">
        <f>SUM(AD29:AU29)</f>
        <v>0</v>
      </c>
      <c r="AC29" s="270" t="s">
        <v>70</v>
      </c>
      <c r="AD29" s="271">
        <f aca="true" t="shared" si="24" ref="AD29:AU29">IF(OR(AD28="",AD28=0),"",VLOOKUP(AD28,$B$8:$T$107,19))</f>
      </c>
      <c r="AE29" s="271">
        <f t="shared" si="24"/>
      </c>
      <c r="AF29" s="271">
        <f t="shared" si="24"/>
      </c>
      <c r="AG29" s="271">
        <f t="shared" si="24"/>
      </c>
      <c r="AH29" s="271">
        <f t="shared" si="24"/>
      </c>
      <c r="AI29" s="271">
        <f t="shared" si="24"/>
      </c>
      <c r="AJ29" s="271">
        <f t="shared" si="24"/>
      </c>
      <c r="AK29" s="271">
        <f t="shared" si="24"/>
      </c>
      <c r="AL29" s="271">
        <f t="shared" si="24"/>
      </c>
      <c r="AM29" s="271">
        <f t="shared" si="24"/>
      </c>
      <c r="AN29" s="271">
        <f t="shared" si="24"/>
      </c>
      <c r="AO29" s="271">
        <f t="shared" si="24"/>
      </c>
      <c r="AP29" s="271">
        <f t="shared" si="24"/>
      </c>
      <c r="AQ29" s="271">
        <f t="shared" si="24"/>
      </c>
      <c r="AR29" s="271">
        <f t="shared" si="24"/>
      </c>
      <c r="AS29" s="271">
        <f t="shared" si="24"/>
      </c>
      <c r="AT29" s="271">
        <f t="shared" si="24"/>
      </c>
      <c r="AU29" s="271">
        <f t="shared" si="24"/>
      </c>
    </row>
    <row r="30" spans="1:47" ht="12.75" outlineLevel="1">
      <c r="A30" s="297"/>
      <c r="B30" s="250">
        <v>23</v>
      </c>
      <c r="C30" s="315">
        <f>IF(OR($A30=0,$A30=" "),0,VLOOKUP($A30,eszamfak!$A$5:$M$99,3))</f>
        <v>0</v>
      </c>
      <c r="D30" s="251"/>
      <c r="E30" s="252" t="e">
        <f t="shared" si="19"/>
        <v>#N/A</v>
      </c>
      <c r="F30" s="253" t="e">
        <f t="shared" si="0"/>
        <v>#N/A</v>
      </c>
      <c r="G30" s="254" t="e">
        <f t="shared" si="1"/>
        <v>#N/A</v>
      </c>
      <c r="H30" s="255" t="e">
        <f t="shared" si="2"/>
        <v>#N/A</v>
      </c>
      <c r="I30" s="325"/>
      <c r="J30" s="326"/>
      <c r="K30" s="326"/>
      <c r="L30" s="326"/>
      <c r="M30" s="326"/>
      <c r="N30" s="326"/>
      <c r="O30" s="327"/>
      <c r="P30" s="290">
        <f t="shared" si="14"/>
        <v>0</v>
      </c>
      <c r="Q30" s="256" t="e">
        <f t="shared" si="8"/>
        <v>#N/A</v>
      </c>
      <c r="R30" s="251"/>
      <c r="S30" s="257">
        <f t="shared" si="15"/>
        <v>0</v>
      </c>
      <c r="T30" s="256" t="e">
        <f t="shared" si="9"/>
        <v>#N/A</v>
      </c>
      <c r="V30" s="259" t="e">
        <f t="shared" si="10"/>
        <v>#N/A</v>
      </c>
      <c r="W30" s="259" t="e">
        <f t="shared" si="5"/>
        <v>#N/A</v>
      </c>
      <c r="X30" s="259" t="e">
        <f ca="1" t="shared" si="6"/>
        <v>#N/A</v>
      </c>
      <c r="Y30" s="259" t="e">
        <f t="shared" si="11"/>
        <v>#N/A</v>
      </c>
      <c r="Z30" s="259" t="e">
        <f t="shared" si="7"/>
        <v>#N/A</v>
      </c>
      <c r="AB30" s="322">
        <v>6</v>
      </c>
      <c r="AC30" s="323" t="s">
        <v>69</v>
      </c>
      <c r="AD30" s="319"/>
      <c r="AE30" s="319"/>
      <c r="AF30" s="319"/>
      <c r="AG30" s="319"/>
      <c r="AH30" s="320"/>
      <c r="AI30" s="319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</row>
    <row r="31" spans="1:47" ht="14.25" outlineLevel="1">
      <c r="A31" s="297"/>
      <c r="B31" s="250">
        <v>24</v>
      </c>
      <c r="C31" s="315">
        <f>IF(OR($A31=0,$A31=" "),0,VLOOKUP($A31,eszamfak!$A$5:$M$99,3))</f>
        <v>0</v>
      </c>
      <c r="D31" s="251"/>
      <c r="E31" s="252" t="e">
        <f t="shared" si="19"/>
        <v>#N/A</v>
      </c>
      <c r="F31" s="253" t="e">
        <f t="shared" si="0"/>
        <v>#N/A</v>
      </c>
      <c r="G31" s="254" t="e">
        <f t="shared" si="1"/>
        <v>#N/A</v>
      </c>
      <c r="H31" s="255" t="e">
        <f t="shared" si="2"/>
        <v>#N/A</v>
      </c>
      <c r="I31" s="325"/>
      <c r="J31" s="326"/>
      <c r="K31" s="326"/>
      <c r="L31" s="326"/>
      <c r="M31" s="326"/>
      <c r="N31" s="326"/>
      <c r="O31" s="327"/>
      <c r="P31" s="290">
        <f t="shared" si="14"/>
        <v>0</v>
      </c>
      <c r="Q31" s="256" t="e">
        <f t="shared" si="8"/>
        <v>#N/A</v>
      </c>
      <c r="R31" s="251"/>
      <c r="S31" s="257">
        <f t="shared" si="15"/>
        <v>0</v>
      </c>
      <c r="T31" s="256" t="e">
        <f t="shared" si="9"/>
        <v>#N/A</v>
      </c>
      <c r="V31" s="259" t="e">
        <f t="shared" si="10"/>
        <v>#N/A</v>
      </c>
      <c r="W31" s="259" t="e">
        <f t="shared" si="5"/>
        <v>#N/A</v>
      </c>
      <c r="X31" s="259" t="e">
        <f ca="1" t="shared" si="6"/>
        <v>#N/A</v>
      </c>
      <c r="Y31" s="259" t="e">
        <f t="shared" si="11"/>
        <v>#N/A</v>
      </c>
      <c r="Z31" s="259" t="e">
        <f t="shared" si="7"/>
        <v>#N/A</v>
      </c>
      <c r="AB31" s="241">
        <f>SUM(AD31:AU31)</f>
        <v>0</v>
      </c>
      <c r="AC31" s="270" t="s">
        <v>70</v>
      </c>
      <c r="AD31" s="271">
        <f aca="true" t="shared" si="25" ref="AD31:AU31">IF(OR(AD30="",AD30=0),"",VLOOKUP(AD30,$B$8:$T$107,19))</f>
      </c>
      <c r="AE31" s="271">
        <f t="shared" si="25"/>
      </c>
      <c r="AF31" s="271">
        <f t="shared" si="25"/>
      </c>
      <c r="AG31" s="271">
        <f t="shared" si="25"/>
      </c>
      <c r="AH31" s="271">
        <f t="shared" si="25"/>
      </c>
      <c r="AI31" s="271">
        <f t="shared" si="25"/>
      </c>
      <c r="AJ31" s="271">
        <f t="shared" si="25"/>
      </c>
      <c r="AK31" s="271">
        <f t="shared" si="25"/>
      </c>
      <c r="AL31" s="271">
        <f t="shared" si="25"/>
      </c>
      <c r="AM31" s="271">
        <f t="shared" si="25"/>
      </c>
      <c r="AN31" s="271">
        <f t="shared" si="25"/>
      </c>
      <c r="AO31" s="271">
        <f t="shared" si="25"/>
      </c>
      <c r="AP31" s="271">
        <f t="shared" si="25"/>
      </c>
      <c r="AQ31" s="271">
        <f t="shared" si="25"/>
      </c>
      <c r="AR31" s="271">
        <f t="shared" si="25"/>
      </c>
      <c r="AS31" s="271">
        <f t="shared" si="25"/>
      </c>
      <c r="AT31" s="271">
        <f t="shared" si="25"/>
      </c>
      <c r="AU31" s="271">
        <f t="shared" si="25"/>
      </c>
    </row>
    <row r="32" spans="1:47" ht="12.75" outlineLevel="1">
      <c r="A32" s="297"/>
      <c r="B32" s="250">
        <v>25</v>
      </c>
      <c r="C32" s="315">
        <f>IF(OR($A32=0,$A32=" "),0,VLOOKUP($A32,eszamfak!$A$5:$M$99,3))</f>
        <v>0</v>
      </c>
      <c r="D32" s="251"/>
      <c r="E32" s="252" t="e">
        <f t="shared" si="19"/>
        <v>#N/A</v>
      </c>
      <c r="F32" s="253" t="e">
        <f t="shared" si="0"/>
        <v>#N/A</v>
      </c>
      <c r="G32" s="254" t="e">
        <f t="shared" si="1"/>
        <v>#N/A</v>
      </c>
      <c r="H32" s="255" t="e">
        <f t="shared" si="2"/>
        <v>#N/A</v>
      </c>
      <c r="I32" s="325"/>
      <c r="J32" s="326"/>
      <c r="K32" s="326"/>
      <c r="L32" s="326"/>
      <c r="M32" s="326"/>
      <c r="N32" s="326"/>
      <c r="O32" s="327"/>
      <c r="P32" s="290">
        <f t="shared" si="14"/>
        <v>0</v>
      </c>
      <c r="Q32" s="256" t="e">
        <f t="shared" si="8"/>
        <v>#N/A</v>
      </c>
      <c r="R32" s="251"/>
      <c r="S32" s="257">
        <f t="shared" si="15"/>
        <v>0</v>
      </c>
      <c r="T32" s="256" t="e">
        <f t="shared" si="9"/>
        <v>#N/A</v>
      </c>
      <c r="V32" s="259" t="e">
        <f t="shared" si="10"/>
        <v>#N/A</v>
      </c>
      <c r="W32" s="259" t="e">
        <f t="shared" si="5"/>
        <v>#N/A</v>
      </c>
      <c r="X32" s="259" t="e">
        <f ca="1" t="shared" si="6"/>
        <v>#N/A</v>
      </c>
      <c r="Y32" s="259" t="e">
        <f t="shared" si="11"/>
        <v>#N/A</v>
      </c>
      <c r="Z32" s="259" t="e">
        <f t="shared" si="7"/>
        <v>#N/A</v>
      </c>
      <c r="AB32" s="322">
        <v>7</v>
      </c>
      <c r="AC32" s="323" t="s">
        <v>69</v>
      </c>
      <c r="AD32" s="319"/>
      <c r="AE32" s="319"/>
      <c r="AF32" s="319"/>
      <c r="AG32" s="319"/>
      <c r="AH32" s="320"/>
      <c r="AI32" s="319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</row>
    <row r="33" spans="1:47" ht="14.25" outlineLevel="1">
      <c r="A33" s="297"/>
      <c r="B33" s="250">
        <v>26</v>
      </c>
      <c r="C33" s="315">
        <f>IF(OR($A33=0,$A33=" "),0,VLOOKUP($A33,eszamfak!$A$5:$M$99,3))</f>
        <v>0</v>
      </c>
      <c r="D33" s="251"/>
      <c r="E33" s="252" t="e">
        <f t="shared" si="19"/>
        <v>#N/A</v>
      </c>
      <c r="F33" s="253" t="e">
        <f t="shared" si="0"/>
        <v>#N/A</v>
      </c>
      <c r="G33" s="254" t="e">
        <f t="shared" si="1"/>
        <v>#N/A</v>
      </c>
      <c r="H33" s="255" t="e">
        <f t="shared" si="2"/>
        <v>#N/A</v>
      </c>
      <c r="I33" s="325"/>
      <c r="J33" s="326"/>
      <c r="K33" s="326"/>
      <c r="L33" s="326"/>
      <c r="M33" s="326"/>
      <c r="N33" s="326"/>
      <c r="O33" s="327"/>
      <c r="P33" s="290">
        <f t="shared" si="14"/>
        <v>0</v>
      </c>
      <c r="Q33" s="256" t="e">
        <f t="shared" si="8"/>
        <v>#N/A</v>
      </c>
      <c r="R33" s="251"/>
      <c r="S33" s="257">
        <f t="shared" si="15"/>
        <v>0</v>
      </c>
      <c r="T33" s="256" t="e">
        <f t="shared" si="9"/>
        <v>#N/A</v>
      </c>
      <c r="V33" s="259" t="e">
        <f t="shared" si="10"/>
        <v>#N/A</v>
      </c>
      <c r="W33" s="259" t="e">
        <f t="shared" si="5"/>
        <v>#N/A</v>
      </c>
      <c r="X33" s="259" t="e">
        <f ca="1" t="shared" si="6"/>
        <v>#N/A</v>
      </c>
      <c r="Y33" s="259" t="e">
        <f t="shared" si="11"/>
        <v>#N/A</v>
      </c>
      <c r="Z33" s="259" t="e">
        <f t="shared" si="7"/>
        <v>#N/A</v>
      </c>
      <c r="AB33" s="241">
        <f>SUM(AD33:AU33)</f>
        <v>0</v>
      </c>
      <c r="AC33" s="270" t="s">
        <v>70</v>
      </c>
      <c r="AD33" s="271">
        <f aca="true" t="shared" si="26" ref="AD33:AU33">IF(OR(AD32="",AD32=0),"",VLOOKUP(AD32,$B$8:$T$107,19))</f>
      </c>
      <c r="AE33" s="271">
        <f t="shared" si="26"/>
      </c>
      <c r="AF33" s="271">
        <f t="shared" si="26"/>
      </c>
      <c r="AG33" s="271">
        <f t="shared" si="26"/>
      </c>
      <c r="AH33" s="271">
        <f t="shared" si="26"/>
      </c>
      <c r="AI33" s="271">
        <f t="shared" si="26"/>
      </c>
      <c r="AJ33" s="271">
        <f t="shared" si="26"/>
      </c>
      <c r="AK33" s="271">
        <f t="shared" si="26"/>
      </c>
      <c r="AL33" s="271">
        <f t="shared" si="26"/>
      </c>
      <c r="AM33" s="271">
        <f t="shared" si="26"/>
      </c>
      <c r="AN33" s="271">
        <f t="shared" si="26"/>
      </c>
      <c r="AO33" s="271">
        <f t="shared" si="26"/>
      </c>
      <c r="AP33" s="271">
        <f t="shared" si="26"/>
      </c>
      <c r="AQ33" s="271">
        <f t="shared" si="26"/>
      </c>
      <c r="AR33" s="271">
        <f t="shared" si="26"/>
      </c>
      <c r="AS33" s="271">
        <f t="shared" si="26"/>
      </c>
      <c r="AT33" s="271">
        <f t="shared" si="26"/>
      </c>
      <c r="AU33" s="271">
        <f t="shared" si="26"/>
      </c>
    </row>
    <row r="34" spans="1:47" ht="12.75" outlineLevel="1">
      <c r="A34" s="297"/>
      <c r="B34" s="250">
        <v>27</v>
      </c>
      <c r="C34" s="315">
        <f>IF(OR($A34=0,$A34=" "),0,VLOOKUP($A34,eszamfak!$A$5:$M$99,3))</f>
        <v>0</v>
      </c>
      <c r="D34" s="251"/>
      <c r="E34" s="252" t="e">
        <f t="shared" si="19"/>
        <v>#N/A</v>
      </c>
      <c r="F34" s="253" t="e">
        <f t="shared" si="0"/>
        <v>#N/A</v>
      </c>
      <c r="G34" s="254" t="e">
        <f t="shared" si="1"/>
        <v>#N/A</v>
      </c>
      <c r="H34" s="255" t="e">
        <f t="shared" si="2"/>
        <v>#N/A</v>
      </c>
      <c r="I34" s="325"/>
      <c r="J34" s="326"/>
      <c r="K34" s="326"/>
      <c r="L34" s="326"/>
      <c r="M34" s="326"/>
      <c r="N34" s="326"/>
      <c r="O34" s="327"/>
      <c r="P34" s="290">
        <f t="shared" si="14"/>
        <v>0</v>
      </c>
      <c r="Q34" s="256" t="e">
        <f t="shared" si="8"/>
        <v>#N/A</v>
      </c>
      <c r="R34" s="251"/>
      <c r="S34" s="257">
        <f t="shared" si="15"/>
        <v>0</v>
      </c>
      <c r="T34" s="256" t="e">
        <f t="shared" si="9"/>
        <v>#N/A</v>
      </c>
      <c r="V34" s="259" t="e">
        <f t="shared" si="10"/>
        <v>#N/A</v>
      </c>
      <c r="W34" s="259" t="e">
        <f t="shared" si="5"/>
        <v>#N/A</v>
      </c>
      <c r="X34" s="259" t="e">
        <f ca="1" t="shared" si="6"/>
        <v>#N/A</v>
      </c>
      <c r="Y34" s="259" t="e">
        <f t="shared" si="11"/>
        <v>#N/A</v>
      </c>
      <c r="Z34" s="259" t="e">
        <f t="shared" si="7"/>
        <v>#N/A</v>
      </c>
      <c r="AB34" s="322">
        <v>8</v>
      </c>
      <c r="AC34" s="323" t="s">
        <v>69</v>
      </c>
      <c r="AD34" s="319"/>
      <c r="AE34" s="319"/>
      <c r="AF34" s="319"/>
      <c r="AG34" s="319"/>
      <c r="AH34" s="320"/>
      <c r="AI34" s="319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</row>
    <row r="35" spans="1:47" ht="14.25" outlineLevel="1">
      <c r="A35" s="297"/>
      <c r="B35" s="250">
        <v>28</v>
      </c>
      <c r="C35" s="315">
        <f>IF(OR($A35=0,$A35=" "),0,VLOOKUP($A35,eszamfak!$A$5:$M$99,3))</f>
        <v>0</v>
      </c>
      <c r="D35" s="251"/>
      <c r="E35" s="252" t="e">
        <f t="shared" si="19"/>
        <v>#N/A</v>
      </c>
      <c r="F35" s="253" t="e">
        <f t="shared" si="0"/>
        <v>#N/A</v>
      </c>
      <c r="G35" s="254" t="e">
        <f t="shared" si="1"/>
        <v>#N/A</v>
      </c>
      <c r="H35" s="255" t="e">
        <f t="shared" si="2"/>
        <v>#N/A</v>
      </c>
      <c r="I35" s="325"/>
      <c r="J35" s="326"/>
      <c r="K35" s="326"/>
      <c r="L35" s="326"/>
      <c r="M35" s="326"/>
      <c r="N35" s="326"/>
      <c r="O35" s="327"/>
      <c r="P35" s="290">
        <f t="shared" si="14"/>
        <v>0</v>
      </c>
      <c r="Q35" s="256" t="e">
        <f t="shared" si="8"/>
        <v>#N/A</v>
      </c>
      <c r="R35" s="251"/>
      <c r="S35" s="257">
        <f t="shared" si="15"/>
        <v>0</v>
      </c>
      <c r="T35" s="256" t="e">
        <f t="shared" si="9"/>
        <v>#N/A</v>
      </c>
      <c r="V35" s="259" t="e">
        <f t="shared" si="10"/>
        <v>#N/A</v>
      </c>
      <c r="W35" s="259" t="e">
        <f t="shared" si="5"/>
        <v>#N/A</v>
      </c>
      <c r="X35" s="259" t="e">
        <f ca="1" t="shared" si="6"/>
        <v>#N/A</v>
      </c>
      <c r="Y35" s="259" t="e">
        <f t="shared" si="11"/>
        <v>#N/A</v>
      </c>
      <c r="Z35" s="259" t="e">
        <f t="shared" si="7"/>
        <v>#N/A</v>
      </c>
      <c r="AB35" s="241">
        <f>SUM(AD35:AU35)</f>
        <v>0</v>
      </c>
      <c r="AC35" s="270" t="s">
        <v>70</v>
      </c>
      <c r="AD35" s="271">
        <f aca="true" t="shared" si="27" ref="AD35:AU35">IF(OR(AD34="",AD34=0),"",VLOOKUP(AD34,$B$8:$T$107,19))</f>
      </c>
      <c r="AE35" s="271">
        <f t="shared" si="27"/>
      </c>
      <c r="AF35" s="271">
        <f t="shared" si="27"/>
      </c>
      <c r="AG35" s="271">
        <f t="shared" si="27"/>
      </c>
      <c r="AH35" s="271">
        <f t="shared" si="27"/>
      </c>
      <c r="AI35" s="271">
        <f t="shared" si="27"/>
      </c>
      <c r="AJ35" s="271">
        <f t="shared" si="27"/>
      </c>
      <c r="AK35" s="271">
        <f t="shared" si="27"/>
      </c>
      <c r="AL35" s="271">
        <f t="shared" si="27"/>
      </c>
      <c r="AM35" s="271">
        <f t="shared" si="27"/>
      </c>
      <c r="AN35" s="271">
        <f t="shared" si="27"/>
      </c>
      <c r="AO35" s="271">
        <f t="shared" si="27"/>
      </c>
      <c r="AP35" s="271">
        <f t="shared" si="27"/>
      </c>
      <c r="AQ35" s="271">
        <f t="shared" si="27"/>
      </c>
      <c r="AR35" s="271">
        <f t="shared" si="27"/>
      </c>
      <c r="AS35" s="271">
        <f t="shared" si="27"/>
      </c>
      <c r="AT35" s="271">
        <f t="shared" si="27"/>
      </c>
      <c r="AU35" s="271">
        <f t="shared" si="27"/>
      </c>
    </row>
    <row r="36" spans="1:47" ht="12.75" outlineLevel="1">
      <c r="A36" s="297"/>
      <c r="B36" s="250">
        <v>29</v>
      </c>
      <c r="C36" s="315">
        <f>IF(OR($A36=0,$A36=" "),0,VLOOKUP($A36,eszamfak!$A$5:$M$99,3))</f>
        <v>0</v>
      </c>
      <c r="D36" s="251"/>
      <c r="E36" s="252" t="e">
        <f t="shared" si="19"/>
        <v>#N/A</v>
      </c>
      <c r="F36" s="253" t="e">
        <f t="shared" si="0"/>
        <v>#N/A</v>
      </c>
      <c r="G36" s="254" t="e">
        <f t="shared" si="1"/>
        <v>#N/A</v>
      </c>
      <c r="H36" s="255" t="e">
        <f t="shared" si="2"/>
        <v>#N/A</v>
      </c>
      <c r="I36" s="325"/>
      <c r="J36" s="326"/>
      <c r="K36" s="326"/>
      <c r="L36" s="326"/>
      <c r="M36" s="326"/>
      <c r="N36" s="326"/>
      <c r="O36" s="327"/>
      <c r="P36" s="290">
        <f t="shared" si="14"/>
        <v>0</v>
      </c>
      <c r="Q36" s="256" t="e">
        <f t="shared" si="8"/>
        <v>#N/A</v>
      </c>
      <c r="R36" s="251"/>
      <c r="S36" s="257">
        <f t="shared" si="15"/>
        <v>0</v>
      </c>
      <c r="T36" s="256" t="e">
        <f t="shared" si="9"/>
        <v>#N/A</v>
      </c>
      <c r="V36" s="259" t="e">
        <f t="shared" si="10"/>
        <v>#N/A</v>
      </c>
      <c r="W36" s="259" t="e">
        <f t="shared" si="5"/>
        <v>#N/A</v>
      </c>
      <c r="X36" s="259" t="e">
        <f ca="1" t="shared" si="6"/>
        <v>#N/A</v>
      </c>
      <c r="Y36" s="259" t="e">
        <f t="shared" si="11"/>
        <v>#N/A</v>
      </c>
      <c r="Z36" s="259" t="e">
        <f t="shared" si="7"/>
        <v>#N/A</v>
      </c>
      <c r="AB36" s="322">
        <v>9</v>
      </c>
      <c r="AC36" s="323" t="s">
        <v>69</v>
      </c>
      <c r="AD36" s="319"/>
      <c r="AE36" s="319"/>
      <c r="AF36" s="319"/>
      <c r="AG36" s="319"/>
      <c r="AH36" s="320"/>
      <c r="AI36" s="319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</row>
    <row r="37" spans="1:47" ht="14.25" outlineLevel="1">
      <c r="A37" s="297"/>
      <c r="B37" s="250">
        <v>30</v>
      </c>
      <c r="C37" s="315">
        <f>IF(OR($A37=0,$A37=" "),0,VLOOKUP($A37,eszamfak!$A$5:$M$99,3))</f>
        <v>0</v>
      </c>
      <c r="D37" s="251"/>
      <c r="E37" s="252" t="e">
        <f t="shared" si="19"/>
        <v>#N/A</v>
      </c>
      <c r="F37" s="253" t="e">
        <f t="shared" si="0"/>
        <v>#N/A</v>
      </c>
      <c r="G37" s="254" t="e">
        <f t="shared" si="1"/>
        <v>#N/A</v>
      </c>
      <c r="H37" s="255" t="e">
        <f t="shared" si="2"/>
        <v>#N/A</v>
      </c>
      <c r="I37" s="325"/>
      <c r="J37" s="326"/>
      <c r="K37" s="326"/>
      <c r="L37" s="326"/>
      <c r="M37" s="326"/>
      <c r="N37" s="326"/>
      <c r="O37" s="327"/>
      <c r="P37" s="290">
        <f t="shared" si="14"/>
        <v>0</v>
      </c>
      <c r="Q37" s="256" t="e">
        <f t="shared" si="8"/>
        <v>#N/A</v>
      </c>
      <c r="R37" s="251"/>
      <c r="S37" s="257">
        <f t="shared" si="15"/>
        <v>0</v>
      </c>
      <c r="T37" s="256" t="e">
        <f t="shared" si="9"/>
        <v>#N/A</v>
      </c>
      <c r="V37" s="259" t="e">
        <f t="shared" si="10"/>
        <v>#N/A</v>
      </c>
      <c r="W37" s="259" t="e">
        <f t="shared" si="5"/>
        <v>#N/A</v>
      </c>
      <c r="X37" s="259" t="e">
        <f ca="1" t="shared" si="6"/>
        <v>#N/A</v>
      </c>
      <c r="Y37" s="259" t="e">
        <f t="shared" si="11"/>
        <v>#N/A</v>
      </c>
      <c r="Z37" s="259" t="e">
        <f t="shared" si="7"/>
        <v>#N/A</v>
      </c>
      <c r="AB37" s="241">
        <f>SUM(AD37:AU37)</f>
        <v>0</v>
      </c>
      <c r="AC37" s="270" t="s">
        <v>70</v>
      </c>
      <c r="AD37" s="271">
        <f aca="true" t="shared" si="28" ref="AD37:AU37">IF(OR(AD36="",AD36=0),"",VLOOKUP(AD36,$B$8:$T$107,19))</f>
      </c>
      <c r="AE37" s="271">
        <f t="shared" si="28"/>
      </c>
      <c r="AF37" s="271">
        <f t="shared" si="28"/>
      </c>
      <c r="AG37" s="271">
        <f t="shared" si="28"/>
      </c>
      <c r="AH37" s="271">
        <f t="shared" si="28"/>
      </c>
      <c r="AI37" s="271">
        <f t="shared" si="28"/>
      </c>
      <c r="AJ37" s="271">
        <f t="shared" si="28"/>
      </c>
      <c r="AK37" s="271">
        <f t="shared" si="28"/>
      </c>
      <c r="AL37" s="271">
        <f t="shared" si="28"/>
      </c>
      <c r="AM37" s="271">
        <f t="shared" si="28"/>
      </c>
      <c r="AN37" s="271">
        <f t="shared" si="28"/>
      </c>
      <c r="AO37" s="271">
        <f t="shared" si="28"/>
      </c>
      <c r="AP37" s="271">
        <f t="shared" si="28"/>
      </c>
      <c r="AQ37" s="271">
        <f t="shared" si="28"/>
      </c>
      <c r="AR37" s="271">
        <f t="shared" si="28"/>
      </c>
      <c r="AS37" s="271">
        <f t="shared" si="28"/>
      </c>
      <c r="AT37" s="271">
        <f t="shared" si="28"/>
      </c>
      <c r="AU37" s="271">
        <f t="shared" si="28"/>
      </c>
    </row>
    <row r="38" spans="1:47" ht="12.75" outlineLevel="1">
      <c r="A38" s="297"/>
      <c r="B38" s="250">
        <v>31</v>
      </c>
      <c r="C38" s="315">
        <f>IF(OR($A38=0,$A38=" "),0,VLOOKUP($A38,eszamfak!$A$5:$M$99,3))</f>
        <v>0</v>
      </c>
      <c r="D38" s="251"/>
      <c r="E38" s="252" t="e">
        <f t="shared" si="19"/>
        <v>#N/A</v>
      </c>
      <c r="F38" s="253" t="e">
        <f t="shared" si="0"/>
        <v>#N/A</v>
      </c>
      <c r="G38" s="254" t="e">
        <f t="shared" si="1"/>
        <v>#N/A</v>
      </c>
      <c r="H38" s="255" t="e">
        <f t="shared" si="2"/>
        <v>#N/A</v>
      </c>
      <c r="I38" s="325"/>
      <c r="J38" s="326"/>
      <c r="K38" s="326"/>
      <c r="L38" s="326"/>
      <c r="M38" s="326"/>
      <c r="N38" s="326"/>
      <c r="O38" s="327"/>
      <c r="P38" s="290">
        <f t="shared" si="14"/>
        <v>0</v>
      </c>
      <c r="Q38" s="256" t="e">
        <f t="shared" si="8"/>
        <v>#N/A</v>
      </c>
      <c r="R38" s="251"/>
      <c r="S38" s="257">
        <f t="shared" si="15"/>
        <v>0</v>
      </c>
      <c r="T38" s="256" t="e">
        <f t="shared" si="9"/>
        <v>#N/A</v>
      </c>
      <c r="V38" s="259" t="e">
        <f t="shared" si="10"/>
        <v>#N/A</v>
      </c>
      <c r="W38" s="259" t="e">
        <f t="shared" si="5"/>
        <v>#N/A</v>
      </c>
      <c r="X38" s="259" t="e">
        <f ca="1" t="shared" si="6"/>
        <v>#N/A</v>
      </c>
      <c r="Y38" s="259" t="e">
        <f t="shared" si="11"/>
        <v>#N/A</v>
      </c>
      <c r="Z38" s="259" t="e">
        <f t="shared" si="7"/>
        <v>#N/A</v>
      </c>
      <c r="AB38" s="322">
        <v>10</v>
      </c>
      <c r="AC38" s="323" t="s">
        <v>69</v>
      </c>
      <c r="AD38" s="319"/>
      <c r="AE38" s="319"/>
      <c r="AF38" s="319"/>
      <c r="AG38" s="319"/>
      <c r="AH38" s="320"/>
      <c r="AI38" s="319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</row>
    <row r="39" spans="1:47" ht="14.25" outlineLevel="1">
      <c r="A39" s="297"/>
      <c r="B39" s="250">
        <v>32</v>
      </c>
      <c r="C39" s="315">
        <f>IF(OR($A39=0,$A39=" "),0,VLOOKUP($A39,eszamfak!$A$5:$M$99,3))</f>
        <v>0</v>
      </c>
      <c r="D39" s="251"/>
      <c r="E39" s="252" t="e">
        <f t="shared" si="19"/>
        <v>#N/A</v>
      </c>
      <c r="F39" s="253" t="e">
        <f t="shared" si="0"/>
        <v>#N/A</v>
      </c>
      <c r="G39" s="254" t="e">
        <f t="shared" si="1"/>
        <v>#N/A</v>
      </c>
      <c r="H39" s="255" t="e">
        <f t="shared" si="2"/>
        <v>#N/A</v>
      </c>
      <c r="I39" s="325"/>
      <c r="J39" s="326"/>
      <c r="K39" s="326"/>
      <c r="L39" s="326"/>
      <c r="M39" s="326"/>
      <c r="N39" s="326"/>
      <c r="O39" s="327"/>
      <c r="P39" s="290">
        <f t="shared" si="14"/>
        <v>0</v>
      </c>
      <c r="Q39" s="256" t="e">
        <f t="shared" si="8"/>
        <v>#N/A</v>
      </c>
      <c r="R39" s="251"/>
      <c r="S39" s="257">
        <f t="shared" si="15"/>
        <v>0</v>
      </c>
      <c r="T39" s="256" t="e">
        <f t="shared" si="9"/>
        <v>#N/A</v>
      </c>
      <c r="V39" s="259" t="e">
        <f t="shared" si="10"/>
        <v>#N/A</v>
      </c>
      <c r="W39" s="259" t="e">
        <f t="shared" si="5"/>
        <v>#N/A</v>
      </c>
      <c r="X39" s="259" t="e">
        <f ca="1" t="shared" si="6"/>
        <v>#N/A</v>
      </c>
      <c r="Y39" s="259" t="e">
        <f t="shared" si="11"/>
        <v>#N/A</v>
      </c>
      <c r="Z39" s="259" t="e">
        <f t="shared" si="7"/>
        <v>#N/A</v>
      </c>
      <c r="AB39" s="241">
        <f>SUM(AD39:AU39)</f>
        <v>0</v>
      </c>
      <c r="AC39" s="270" t="s">
        <v>70</v>
      </c>
      <c r="AD39" s="271">
        <f aca="true" t="shared" si="29" ref="AD39:AU39">IF(OR(AD38="",AD38=0),"",VLOOKUP(AD38,$B$8:$T$107,19))</f>
      </c>
      <c r="AE39" s="271">
        <f t="shared" si="29"/>
      </c>
      <c r="AF39" s="271">
        <f t="shared" si="29"/>
      </c>
      <c r="AG39" s="271">
        <f t="shared" si="29"/>
      </c>
      <c r="AH39" s="271">
        <f t="shared" si="29"/>
      </c>
      <c r="AI39" s="271">
        <f t="shared" si="29"/>
      </c>
      <c r="AJ39" s="271">
        <f t="shared" si="29"/>
      </c>
      <c r="AK39" s="271">
        <f t="shared" si="29"/>
      </c>
      <c r="AL39" s="271">
        <f t="shared" si="29"/>
      </c>
      <c r="AM39" s="271">
        <f t="shared" si="29"/>
      </c>
      <c r="AN39" s="271">
        <f t="shared" si="29"/>
      </c>
      <c r="AO39" s="271">
        <f t="shared" si="29"/>
      </c>
      <c r="AP39" s="271">
        <f t="shared" si="29"/>
      </c>
      <c r="AQ39" s="271">
        <f t="shared" si="29"/>
      </c>
      <c r="AR39" s="271">
        <f t="shared" si="29"/>
      </c>
      <c r="AS39" s="271">
        <f t="shared" si="29"/>
      </c>
      <c r="AT39" s="271">
        <f t="shared" si="29"/>
      </c>
      <c r="AU39" s="271">
        <f t="shared" si="29"/>
      </c>
    </row>
    <row r="40" spans="1:26" ht="12.75" outlineLevel="1">
      <c r="A40" s="297"/>
      <c r="B40" s="250">
        <v>33</v>
      </c>
      <c r="C40" s="315">
        <f>IF(OR($A40=0,$A40=" "),0,VLOOKUP($A40,eszamfak!$A$5:$M$99,3))</f>
        <v>0</v>
      </c>
      <c r="D40" s="251"/>
      <c r="E40" s="252" t="e">
        <f t="shared" si="19"/>
        <v>#N/A</v>
      </c>
      <c r="F40" s="253" t="e">
        <f aca="true" t="shared" si="30" ref="F40:F71">IF($C40&lt;=31,$Z40,$Y40)</f>
        <v>#N/A</v>
      </c>
      <c r="G40" s="254" t="e">
        <f aca="true" t="shared" si="31" ref="G40:G71">IF($C40&lt;31,$X40,$W40/$D40)</f>
        <v>#N/A</v>
      </c>
      <c r="H40" s="255" t="e">
        <f aca="true" t="shared" si="32" ref="H40:H71">D40*G40</f>
        <v>#N/A</v>
      </c>
      <c r="I40" s="325"/>
      <c r="J40" s="326"/>
      <c r="K40" s="326"/>
      <c r="L40" s="326"/>
      <c r="M40" s="326"/>
      <c r="N40" s="326"/>
      <c r="O40" s="327"/>
      <c r="P40" s="290">
        <f t="shared" si="14"/>
        <v>0</v>
      </c>
      <c r="Q40" s="256" t="e">
        <f t="shared" si="8"/>
        <v>#N/A</v>
      </c>
      <c r="R40" s="251"/>
      <c r="S40" s="257">
        <f t="shared" si="15"/>
        <v>0</v>
      </c>
      <c r="T40" s="256" t="e">
        <f t="shared" si="9"/>
        <v>#N/A</v>
      </c>
      <c r="V40" s="259" t="e">
        <f t="shared" si="10"/>
        <v>#N/A</v>
      </c>
      <c r="W40" s="259" t="e">
        <f aca="true" t="shared" si="33" ref="W40:W71">(1.021-$V40)*1000</f>
        <v>#N/A</v>
      </c>
      <c r="X40" s="259" t="e">
        <f aca="true" ca="1" t="shared" si="34" ref="X40:X71">VLOOKUP(IF(MOD($C40,0.5)&lt;&gt;0,($C40-MOD($C40,0.5)),$C40),INDIRECT(CONCATENATE("din",$E40)),3)+(($C40-IF(MOD($C40,0.5)&lt;&gt;0,($C40-MOD($C40,0.5)),$C40))*(VLOOKUP(IF(MOD($C40,0.5)&lt;&gt;0,($C40-MOD($C40,0.5))+0.5,$C40+0.5),INDIRECT(CONCATENATE("din",$E40)),3)-VLOOKUP(IF(MOD($C40,0.5)&lt;&gt;0,($C40-MOD($C40,0.5)),$C40),INDIRECT(CONCATENATE("din",$E40)),3)))/(IF(MOD($C40,0.5)&lt;&gt;0,($C40-MOD($C40,0.5))+0.5,$C40+0.5)-IF(MOD($C40,0.5)&lt;&gt;0,($C40-MOD($C40,0.5)),$C40))</f>
        <v>#N/A</v>
      </c>
      <c r="Y40" s="259" t="e">
        <f t="shared" si="11"/>
        <v>#N/A</v>
      </c>
      <c r="Z40" s="259" t="e">
        <f aca="true" t="shared" si="35" ref="Z40:Z71">IF($E40=15,1.4*$C40,IF($E40=20,0.75*$C40,IF($E40=25,0.475*$C40,IF($E40=32,0.275*$C40,IF($E40=40,0.2*$C40,IF($E40=50,0.125*$C40,IF($E40=65,0.07407*$C40,IF($E40=80,0.05405*$C40,0))))))))</f>
        <v>#N/A</v>
      </c>
    </row>
    <row r="41" spans="1:26" ht="12.75" outlineLevel="1">
      <c r="A41" s="297"/>
      <c r="B41" s="250">
        <v>34</v>
      </c>
      <c r="C41" s="315">
        <f>IF(OR($A41=0,$A41=" "),0,VLOOKUP($A41,eszamfak!$A$5:$M$99,3))</f>
        <v>0</v>
      </c>
      <c r="D41" s="251"/>
      <c r="E41" s="252" t="e">
        <f t="shared" si="19"/>
        <v>#N/A</v>
      </c>
      <c r="F41" s="253" t="e">
        <f t="shared" si="30"/>
        <v>#N/A</v>
      </c>
      <c r="G41" s="254" t="e">
        <f t="shared" si="31"/>
        <v>#N/A</v>
      </c>
      <c r="H41" s="255" t="e">
        <f t="shared" si="32"/>
        <v>#N/A</v>
      </c>
      <c r="I41" s="325"/>
      <c r="J41" s="326"/>
      <c r="K41" s="326"/>
      <c r="L41" s="326"/>
      <c r="M41" s="326"/>
      <c r="N41" s="326"/>
      <c r="O41" s="327"/>
      <c r="P41" s="290">
        <f t="shared" si="14"/>
        <v>0</v>
      </c>
      <c r="Q41" s="256" t="e">
        <f t="shared" si="8"/>
        <v>#N/A</v>
      </c>
      <c r="R41" s="251"/>
      <c r="S41" s="257">
        <f t="shared" si="15"/>
        <v>0</v>
      </c>
      <c r="T41" s="256" t="e">
        <f t="shared" si="9"/>
        <v>#N/A</v>
      </c>
      <c r="V41" s="259" t="e">
        <f t="shared" si="10"/>
        <v>#N/A</v>
      </c>
      <c r="W41" s="259" t="e">
        <f t="shared" si="33"/>
        <v>#N/A</v>
      </c>
      <c r="X41" s="259" t="e">
        <f ca="1" t="shared" si="34"/>
        <v>#N/A</v>
      </c>
      <c r="Y41" s="259" t="e">
        <f t="shared" si="11"/>
        <v>#N/A</v>
      </c>
      <c r="Z41" s="259" t="e">
        <f t="shared" si="35"/>
        <v>#N/A</v>
      </c>
    </row>
    <row r="42" spans="1:26" ht="12.75" outlineLevel="1">
      <c r="A42" s="297"/>
      <c r="B42" s="250">
        <v>35</v>
      </c>
      <c r="C42" s="315">
        <f>IF(OR($A42=0,$A42=" "),0,VLOOKUP($A42,eszamfak!$A$5:$M$99,3))</f>
        <v>0</v>
      </c>
      <c r="D42" s="251"/>
      <c r="E42" s="252" t="e">
        <f t="shared" si="19"/>
        <v>#N/A</v>
      </c>
      <c r="F42" s="253" t="e">
        <f t="shared" si="30"/>
        <v>#N/A</v>
      </c>
      <c r="G42" s="254" t="e">
        <f t="shared" si="31"/>
        <v>#N/A</v>
      </c>
      <c r="H42" s="255" t="e">
        <f t="shared" si="32"/>
        <v>#N/A</v>
      </c>
      <c r="I42" s="325"/>
      <c r="J42" s="326"/>
      <c r="K42" s="326"/>
      <c r="L42" s="326"/>
      <c r="M42" s="326"/>
      <c r="N42" s="326"/>
      <c r="O42" s="327"/>
      <c r="P42" s="290">
        <f t="shared" si="14"/>
        <v>0</v>
      </c>
      <c r="Q42" s="256" t="e">
        <f t="shared" si="8"/>
        <v>#N/A</v>
      </c>
      <c r="R42" s="251"/>
      <c r="S42" s="257">
        <f t="shared" si="15"/>
        <v>0</v>
      </c>
      <c r="T42" s="256" t="e">
        <f t="shared" si="9"/>
        <v>#N/A</v>
      </c>
      <c r="V42" s="259" t="e">
        <f t="shared" si="10"/>
        <v>#N/A</v>
      </c>
      <c r="W42" s="259" t="e">
        <f t="shared" si="33"/>
        <v>#N/A</v>
      </c>
      <c r="X42" s="259" t="e">
        <f ca="1" t="shared" si="34"/>
        <v>#N/A</v>
      </c>
      <c r="Y42" s="259" t="e">
        <f t="shared" si="11"/>
        <v>#N/A</v>
      </c>
      <c r="Z42" s="259" t="e">
        <f t="shared" si="35"/>
        <v>#N/A</v>
      </c>
    </row>
    <row r="43" spans="1:26" ht="12.75" outlineLevel="1">
      <c r="A43" s="297"/>
      <c r="B43" s="250">
        <v>36</v>
      </c>
      <c r="C43" s="315">
        <f>IF(OR($A43=0,$A43=" "),0,VLOOKUP($A43,eszamfak!$A$5:$M$99,3))</f>
        <v>0</v>
      </c>
      <c r="D43" s="251"/>
      <c r="E43" s="252" t="e">
        <f t="shared" si="19"/>
        <v>#N/A</v>
      </c>
      <c r="F43" s="253" t="e">
        <f t="shared" si="30"/>
        <v>#N/A</v>
      </c>
      <c r="G43" s="254" t="e">
        <f t="shared" si="31"/>
        <v>#N/A</v>
      </c>
      <c r="H43" s="255" t="e">
        <f t="shared" si="32"/>
        <v>#N/A</v>
      </c>
      <c r="I43" s="325"/>
      <c r="J43" s="326"/>
      <c r="K43" s="326"/>
      <c r="L43" s="326"/>
      <c r="M43" s="326"/>
      <c r="N43" s="326"/>
      <c r="O43" s="327"/>
      <c r="P43" s="290">
        <f t="shared" si="14"/>
        <v>0</v>
      </c>
      <c r="Q43" s="256" t="e">
        <f t="shared" si="8"/>
        <v>#N/A</v>
      </c>
      <c r="R43" s="251"/>
      <c r="S43" s="257">
        <f t="shared" si="15"/>
        <v>0</v>
      </c>
      <c r="T43" s="256" t="e">
        <f t="shared" si="9"/>
        <v>#N/A</v>
      </c>
      <c r="V43" s="259" t="e">
        <f t="shared" si="10"/>
        <v>#N/A</v>
      </c>
      <c r="W43" s="259" t="e">
        <f t="shared" si="33"/>
        <v>#N/A</v>
      </c>
      <c r="X43" s="259" t="e">
        <f ca="1" t="shared" si="34"/>
        <v>#N/A</v>
      </c>
      <c r="Y43" s="259" t="e">
        <f t="shared" si="11"/>
        <v>#N/A</v>
      </c>
      <c r="Z43" s="259" t="e">
        <f t="shared" si="35"/>
        <v>#N/A</v>
      </c>
    </row>
    <row r="44" spans="1:26" ht="12.75" outlineLevel="1">
      <c r="A44" s="297"/>
      <c r="B44" s="250">
        <v>37</v>
      </c>
      <c r="C44" s="315">
        <f>IF(OR($A44=0,$A44=" "),0,VLOOKUP($A44,eszamfak!$A$5:$M$99,3))</f>
        <v>0</v>
      </c>
      <c r="D44" s="251"/>
      <c r="E44" s="252" t="e">
        <f t="shared" si="19"/>
        <v>#N/A</v>
      </c>
      <c r="F44" s="253" t="e">
        <f t="shared" si="30"/>
        <v>#N/A</v>
      </c>
      <c r="G44" s="254" t="e">
        <f t="shared" si="31"/>
        <v>#N/A</v>
      </c>
      <c r="H44" s="255" t="e">
        <f t="shared" si="32"/>
        <v>#N/A</v>
      </c>
      <c r="I44" s="325"/>
      <c r="J44" s="326"/>
      <c r="K44" s="326"/>
      <c r="L44" s="326"/>
      <c r="M44" s="326"/>
      <c r="N44" s="326"/>
      <c r="O44" s="327"/>
      <c r="P44" s="290">
        <f t="shared" si="14"/>
        <v>0</v>
      </c>
      <c r="Q44" s="256" t="e">
        <f t="shared" si="8"/>
        <v>#N/A</v>
      </c>
      <c r="R44" s="251"/>
      <c r="S44" s="257">
        <f t="shared" si="15"/>
        <v>0</v>
      </c>
      <c r="T44" s="256" t="e">
        <f t="shared" si="9"/>
        <v>#N/A</v>
      </c>
      <c r="V44" s="259" t="e">
        <f t="shared" si="10"/>
        <v>#N/A</v>
      </c>
      <c r="W44" s="259" t="e">
        <f t="shared" si="33"/>
        <v>#N/A</v>
      </c>
      <c r="X44" s="259" t="e">
        <f ca="1" t="shared" si="34"/>
        <v>#N/A</v>
      </c>
      <c r="Y44" s="259" t="e">
        <f t="shared" si="11"/>
        <v>#N/A</v>
      </c>
      <c r="Z44" s="259" t="e">
        <f t="shared" si="35"/>
        <v>#N/A</v>
      </c>
    </row>
    <row r="45" spans="1:26" ht="12.75" outlineLevel="1">
      <c r="A45" s="297"/>
      <c r="B45" s="250">
        <v>38</v>
      </c>
      <c r="C45" s="315">
        <f>IF(OR($A45=0,$A45=" "),0,VLOOKUP($A45,eszamfak!$A$5:$M$99,3))</f>
        <v>0</v>
      </c>
      <c r="D45" s="251"/>
      <c r="E45" s="252" t="e">
        <f t="shared" si="19"/>
        <v>#N/A</v>
      </c>
      <c r="F45" s="253" t="e">
        <f t="shared" si="30"/>
        <v>#N/A</v>
      </c>
      <c r="G45" s="254" t="e">
        <f t="shared" si="31"/>
        <v>#N/A</v>
      </c>
      <c r="H45" s="255" t="e">
        <f t="shared" si="32"/>
        <v>#N/A</v>
      </c>
      <c r="I45" s="325"/>
      <c r="J45" s="326"/>
      <c r="K45" s="326"/>
      <c r="L45" s="326"/>
      <c r="M45" s="326"/>
      <c r="N45" s="326"/>
      <c r="O45" s="327"/>
      <c r="P45" s="290">
        <f t="shared" si="14"/>
        <v>0</v>
      </c>
      <c r="Q45" s="256" t="e">
        <f t="shared" si="8"/>
        <v>#N/A</v>
      </c>
      <c r="R45" s="251"/>
      <c r="S45" s="257">
        <f t="shared" si="15"/>
        <v>0</v>
      </c>
      <c r="T45" s="256" t="e">
        <f t="shared" si="9"/>
        <v>#N/A</v>
      </c>
      <c r="V45" s="259" t="e">
        <f t="shared" si="10"/>
        <v>#N/A</v>
      </c>
      <c r="W45" s="259" t="e">
        <f t="shared" si="33"/>
        <v>#N/A</v>
      </c>
      <c r="X45" s="259" t="e">
        <f ca="1" t="shared" si="34"/>
        <v>#N/A</v>
      </c>
      <c r="Y45" s="259" t="e">
        <f t="shared" si="11"/>
        <v>#N/A</v>
      </c>
      <c r="Z45" s="259" t="e">
        <f t="shared" si="35"/>
        <v>#N/A</v>
      </c>
    </row>
    <row r="46" spans="1:26" ht="12.75" outlineLevel="1">
      <c r="A46" s="297"/>
      <c r="B46" s="250">
        <v>39</v>
      </c>
      <c r="C46" s="315">
        <f>IF(OR($A46=0,$A46=" "),0,VLOOKUP($A46,eszamfak!$A$5:$M$99,3))</f>
        <v>0</v>
      </c>
      <c r="D46" s="251"/>
      <c r="E46" s="252" t="e">
        <f t="shared" si="19"/>
        <v>#N/A</v>
      </c>
      <c r="F46" s="253" t="e">
        <f t="shared" si="30"/>
        <v>#N/A</v>
      </c>
      <c r="G46" s="254" t="e">
        <f t="shared" si="31"/>
        <v>#N/A</v>
      </c>
      <c r="H46" s="255" t="e">
        <f t="shared" si="32"/>
        <v>#N/A</v>
      </c>
      <c r="I46" s="325"/>
      <c r="J46" s="326"/>
      <c r="K46" s="326"/>
      <c r="L46" s="326"/>
      <c r="M46" s="326"/>
      <c r="N46" s="326"/>
      <c r="O46" s="327"/>
      <c r="P46" s="290">
        <f t="shared" si="14"/>
        <v>0</v>
      </c>
      <c r="Q46" s="256" t="e">
        <f t="shared" si="8"/>
        <v>#N/A</v>
      </c>
      <c r="R46" s="251"/>
      <c r="S46" s="257">
        <f t="shared" si="15"/>
        <v>0</v>
      </c>
      <c r="T46" s="256" t="e">
        <f t="shared" si="9"/>
        <v>#N/A</v>
      </c>
      <c r="V46" s="259" t="e">
        <f t="shared" si="10"/>
        <v>#N/A</v>
      </c>
      <c r="W46" s="259" t="e">
        <f t="shared" si="33"/>
        <v>#N/A</v>
      </c>
      <c r="X46" s="259" t="e">
        <f ca="1" t="shared" si="34"/>
        <v>#N/A</v>
      </c>
      <c r="Y46" s="259" t="e">
        <f t="shared" si="11"/>
        <v>#N/A</v>
      </c>
      <c r="Z46" s="259" t="e">
        <f t="shared" si="35"/>
        <v>#N/A</v>
      </c>
    </row>
    <row r="47" spans="1:26" ht="12.75" outlineLevel="1">
      <c r="A47" s="297"/>
      <c r="B47" s="250">
        <v>40</v>
      </c>
      <c r="C47" s="315">
        <f>IF(OR($A47=0,$A47=" "),0,VLOOKUP($A47,eszamfak!$A$5:$M$99,3))</f>
        <v>0</v>
      </c>
      <c r="D47" s="251"/>
      <c r="E47" s="252" t="e">
        <f t="shared" si="19"/>
        <v>#N/A</v>
      </c>
      <c r="F47" s="253" t="e">
        <f t="shared" si="30"/>
        <v>#N/A</v>
      </c>
      <c r="G47" s="254" t="e">
        <f t="shared" si="31"/>
        <v>#N/A</v>
      </c>
      <c r="H47" s="255" t="e">
        <f t="shared" si="32"/>
        <v>#N/A</v>
      </c>
      <c r="I47" s="325"/>
      <c r="J47" s="326"/>
      <c r="K47" s="326"/>
      <c r="L47" s="326"/>
      <c r="M47" s="326"/>
      <c r="N47" s="326"/>
      <c r="O47" s="327"/>
      <c r="P47" s="290">
        <f t="shared" si="14"/>
        <v>0</v>
      </c>
      <c r="Q47" s="256" t="e">
        <f t="shared" si="8"/>
        <v>#N/A</v>
      </c>
      <c r="R47" s="251"/>
      <c r="S47" s="257">
        <f t="shared" si="15"/>
        <v>0</v>
      </c>
      <c r="T47" s="256" t="e">
        <f t="shared" si="9"/>
        <v>#N/A</v>
      </c>
      <c r="V47" s="259" t="e">
        <f t="shared" si="10"/>
        <v>#N/A</v>
      </c>
      <c r="W47" s="259" t="e">
        <f t="shared" si="33"/>
        <v>#N/A</v>
      </c>
      <c r="X47" s="259" t="e">
        <f ca="1" t="shared" si="34"/>
        <v>#N/A</v>
      </c>
      <c r="Y47" s="259" t="e">
        <f t="shared" si="11"/>
        <v>#N/A</v>
      </c>
      <c r="Z47" s="259" t="e">
        <f t="shared" si="35"/>
        <v>#N/A</v>
      </c>
    </row>
    <row r="48" spans="1:26" ht="12.75" outlineLevel="1">
      <c r="A48" s="297"/>
      <c r="B48" s="250">
        <v>41</v>
      </c>
      <c r="C48" s="315">
        <f>IF(OR($A48=0,$A48=" "),0,VLOOKUP($A48,eszamfak!$A$5:$M$99,3))</f>
        <v>0</v>
      </c>
      <c r="D48" s="251"/>
      <c r="E48" s="252" t="e">
        <f t="shared" si="19"/>
        <v>#N/A</v>
      </c>
      <c r="F48" s="253" t="e">
        <f t="shared" si="30"/>
        <v>#N/A</v>
      </c>
      <c r="G48" s="254" t="e">
        <f t="shared" si="31"/>
        <v>#N/A</v>
      </c>
      <c r="H48" s="255" t="e">
        <f t="shared" si="32"/>
        <v>#N/A</v>
      </c>
      <c r="I48" s="325"/>
      <c r="J48" s="326"/>
      <c r="K48" s="326"/>
      <c r="L48" s="326"/>
      <c r="M48" s="326"/>
      <c r="N48" s="326"/>
      <c r="O48" s="327"/>
      <c r="P48" s="290">
        <f t="shared" si="14"/>
        <v>0</v>
      </c>
      <c r="Q48" s="256" t="e">
        <f t="shared" si="8"/>
        <v>#N/A</v>
      </c>
      <c r="R48" s="251"/>
      <c r="S48" s="257">
        <f t="shared" si="15"/>
        <v>0</v>
      </c>
      <c r="T48" s="256" t="e">
        <f t="shared" si="9"/>
        <v>#N/A</v>
      </c>
      <c r="V48" s="259" t="e">
        <f t="shared" si="10"/>
        <v>#N/A</v>
      </c>
      <c r="W48" s="259" t="e">
        <f t="shared" si="33"/>
        <v>#N/A</v>
      </c>
      <c r="X48" s="259" t="e">
        <f ca="1" t="shared" si="34"/>
        <v>#N/A</v>
      </c>
      <c r="Y48" s="259" t="e">
        <f t="shared" si="11"/>
        <v>#N/A</v>
      </c>
      <c r="Z48" s="259" t="e">
        <f t="shared" si="35"/>
        <v>#N/A</v>
      </c>
    </row>
    <row r="49" spans="1:26" ht="12.75" outlineLevel="1">
      <c r="A49" s="297"/>
      <c r="B49" s="250">
        <v>42</v>
      </c>
      <c r="C49" s="315">
        <f>IF(OR($A49=0,$A49=" "),0,VLOOKUP($A49,eszamfak!$A$5:$M$99,3))</f>
        <v>0</v>
      </c>
      <c r="D49" s="251"/>
      <c r="E49" s="252" t="e">
        <f t="shared" si="19"/>
        <v>#N/A</v>
      </c>
      <c r="F49" s="253" t="e">
        <f t="shared" si="30"/>
        <v>#N/A</v>
      </c>
      <c r="G49" s="254" t="e">
        <f t="shared" si="31"/>
        <v>#N/A</v>
      </c>
      <c r="H49" s="255" t="e">
        <f t="shared" si="32"/>
        <v>#N/A</v>
      </c>
      <c r="I49" s="325"/>
      <c r="J49" s="326"/>
      <c r="K49" s="326"/>
      <c r="L49" s="326"/>
      <c r="M49" s="326"/>
      <c r="N49" s="326"/>
      <c r="O49" s="327"/>
      <c r="P49" s="290">
        <f t="shared" si="14"/>
        <v>0</v>
      </c>
      <c r="Q49" s="256" t="e">
        <f t="shared" si="8"/>
        <v>#N/A</v>
      </c>
      <c r="R49" s="251"/>
      <c r="S49" s="257">
        <f t="shared" si="15"/>
        <v>0</v>
      </c>
      <c r="T49" s="256" t="e">
        <f t="shared" si="9"/>
        <v>#N/A</v>
      </c>
      <c r="V49" s="259" t="e">
        <f t="shared" si="10"/>
        <v>#N/A</v>
      </c>
      <c r="W49" s="259" t="e">
        <f t="shared" si="33"/>
        <v>#N/A</v>
      </c>
      <c r="X49" s="259" t="e">
        <f ca="1" t="shared" si="34"/>
        <v>#N/A</v>
      </c>
      <c r="Y49" s="259" t="e">
        <f t="shared" si="11"/>
        <v>#N/A</v>
      </c>
      <c r="Z49" s="259" t="e">
        <f t="shared" si="35"/>
        <v>#N/A</v>
      </c>
    </row>
    <row r="50" spans="1:26" ht="12.75" outlineLevel="1">
      <c r="A50" s="297"/>
      <c r="B50" s="250">
        <v>43</v>
      </c>
      <c r="C50" s="315">
        <f>IF(OR($A50=0,$A50=" "),0,VLOOKUP($A50,eszamfak!$A$5:$M$99,3))</f>
        <v>0</v>
      </c>
      <c r="D50" s="251"/>
      <c r="E50" s="252" t="e">
        <f t="shared" si="19"/>
        <v>#N/A</v>
      </c>
      <c r="F50" s="253" t="e">
        <f t="shared" si="30"/>
        <v>#N/A</v>
      </c>
      <c r="G50" s="254" t="e">
        <f t="shared" si="31"/>
        <v>#N/A</v>
      </c>
      <c r="H50" s="255" t="e">
        <f t="shared" si="32"/>
        <v>#N/A</v>
      </c>
      <c r="I50" s="264"/>
      <c r="J50" s="265"/>
      <c r="K50" s="265"/>
      <c r="L50" s="265"/>
      <c r="M50" s="265"/>
      <c r="N50" s="265"/>
      <c r="O50" s="291"/>
      <c r="P50" s="290">
        <f t="shared" si="14"/>
        <v>0</v>
      </c>
      <c r="Q50" s="256" t="e">
        <f t="shared" si="8"/>
        <v>#N/A</v>
      </c>
      <c r="R50" s="251"/>
      <c r="S50" s="257">
        <f t="shared" si="15"/>
        <v>0</v>
      </c>
      <c r="T50" s="256" t="e">
        <f t="shared" si="9"/>
        <v>#N/A</v>
      </c>
      <c r="V50" s="259" t="e">
        <f t="shared" si="10"/>
        <v>#N/A</v>
      </c>
      <c r="W50" s="259" t="e">
        <f t="shared" si="33"/>
        <v>#N/A</v>
      </c>
      <c r="X50" s="259" t="e">
        <f ca="1" t="shared" si="34"/>
        <v>#N/A</v>
      </c>
      <c r="Y50" s="259" t="e">
        <f t="shared" si="11"/>
        <v>#N/A</v>
      </c>
      <c r="Z50" s="259" t="e">
        <f t="shared" si="35"/>
        <v>#N/A</v>
      </c>
    </row>
    <row r="51" spans="1:26" ht="12.75" outlineLevel="1">
      <c r="A51" s="297"/>
      <c r="B51" s="250">
        <v>44</v>
      </c>
      <c r="C51" s="315">
        <f>IF(OR($A51=0,$A51=" "),0,VLOOKUP($A51,eszamfak!$A$5:$M$99,3))</f>
        <v>0</v>
      </c>
      <c r="D51" s="251"/>
      <c r="E51" s="252" t="e">
        <f t="shared" si="19"/>
        <v>#N/A</v>
      </c>
      <c r="F51" s="253" t="e">
        <f t="shared" si="30"/>
        <v>#N/A</v>
      </c>
      <c r="G51" s="254" t="e">
        <f t="shared" si="31"/>
        <v>#N/A</v>
      </c>
      <c r="H51" s="255" t="e">
        <f t="shared" si="32"/>
        <v>#N/A</v>
      </c>
      <c r="I51" s="264"/>
      <c r="J51" s="265"/>
      <c r="K51" s="265"/>
      <c r="L51" s="265"/>
      <c r="M51" s="265"/>
      <c r="N51" s="265"/>
      <c r="O51" s="291"/>
      <c r="P51" s="290">
        <f t="shared" si="14"/>
        <v>0</v>
      </c>
      <c r="Q51" s="256" t="e">
        <f t="shared" si="8"/>
        <v>#N/A</v>
      </c>
      <c r="R51" s="251"/>
      <c r="S51" s="257">
        <f t="shared" si="15"/>
        <v>0</v>
      </c>
      <c r="T51" s="256" t="e">
        <f t="shared" si="9"/>
        <v>#N/A</v>
      </c>
      <c r="V51" s="259" t="e">
        <f t="shared" si="10"/>
        <v>#N/A</v>
      </c>
      <c r="W51" s="259" t="e">
        <f t="shared" si="33"/>
        <v>#N/A</v>
      </c>
      <c r="X51" s="259" t="e">
        <f ca="1" t="shared" si="34"/>
        <v>#N/A</v>
      </c>
      <c r="Y51" s="259" t="e">
        <f t="shared" si="11"/>
        <v>#N/A</v>
      </c>
      <c r="Z51" s="259" t="e">
        <f t="shared" si="35"/>
        <v>#N/A</v>
      </c>
    </row>
    <row r="52" spans="1:26" ht="12.75" outlineLevel="1">
      <c r="A52" s="297"/>
      <c r="B52" s="250">
        <v>45</v>
      </c>
      <c r="C52" s="315">
        <f>IF(OR($A52=0,$A52=" "),0,VLOOKUP($A52,eszamfak!$A$5:$M$99,3))</f>
        <v>0</v>
      </c>
      <c r="D52" s="251"/>
      <c r="E52" s="252" t="e">
        <f t="shared" si="19"/>
        <v>#N/A</v>
      </c>
      <c r="F52" s="253" t="e">
        <f t="shared" si="30"/>
        <v>#N/A</v>
      </c>
      <c r="G52" s="254" t="e">
        <f t="shared" si="31"/>
        <v>#N/A</v>
      </c>
      <c r="H52" s="255" t="e">
        <f t="shared" si="32"/>
        <v>#N/A</v>
      </c>
      <c r="I52" s="264"/>
      <c r="J52" s="265"/>
      <c r="K52" s="265"/>
      <c r="L52" s="265"/>
      <c r="M52" s="265"/>
      <c r="N52" s="265"/>
      <c r="O52" s="291"/>
      <c r="P52" s="290">
        <f t="shared" si="14"/>
        <v>0</v>
      </c>
      <c r="Q52" s="256" t="e">
        <f t="shared" si="8"/>
        <v>#N/A</v>
      </c>
      <c r="R52" s="251"/>
      <c r="S52" s="257">
        <f t="shared" si="15"/>
        <v>0</v>
      </c>
      <c r="T52" s="256" t="e">
        <f t="shared" si="9"/>
        <v>#N/A</v>
      </c>
      <c r="V52" s="259" t="e">
        <f t="shared" si="10"/>
        <v>#N/A</v>
      </c>
      <c r="W52" s="259" t="e">
        <f t="shared" si="33"/>
        <v>#N/A</v>
      </c>
      <c r="X52" s="259" t="e">
        <f ca="1" t="shared" si="34"/>
        <v>#N/A</v>
      </c>
      <c r="Y52" s="259" t="e">
        <f t="shared" si="11"/>
        <v>#N/A</v>
      </c>
      <c r="Z52" s="259" t="e">
        <f t="shared" si="35"/>
        <v>#N/A</v>
      </c>
    </row>
    <row r="53" spans="1:26" ht="12.75" outlineLevel="1">
      <c r="A53" s="297"/>
      <c r="B53" s="250">
        <v>46</v>
      </c>
      <c r="C53" s="315">
        <f>IF(OR($A53=0,$A53=" "),0,VLOOKUP($A53,eszamfak!$A$5:$M$99,3))</f>
        <v>0</v>
      </c>
      <c r="D53" s="251"/>
      <c r="E53" s="252" t="e">
        <f t="shared" si="19"/>
        <v>#N/A</v>
      </c>
      <c r="F53" s="253" t="e">
        <f t="shared" si="30"/>
        <v>#N/A</v>
      </c>
      <c r="G53" s="254" t="e">
        <f t="shared" si="31"/>
        <v>#N/A</v>
      </c>
      <c r="H53" s="255" t="e">
        <f t="shared" si="32"/>
        <v>#N/A</v>
      </c>
      <c r="I53" s="264"/>
      <c r="J53" s="265"/>
      <c r="K53" s="265"/>
      <c r="L53" s="265"/>
      <c r="M53" s="265"/>
      <c r="N53" s="265"/>
      <c r="O53" s="291"/>
      <c r="P53" s="290">
        <f t="shared" si="14"/>
        <v>0</v>
      </c>
      <c r="Q53" s="256" t="e">
        <f t="shared" si="8"/>
        <v>#N/A</v>
      </c>
      <c r="R53" s="251"/>
      <c r="S53" s="257">
        <f t="shared" si="15"/>
        <v>0</v>
      </c>
      <c r="T53" s="256" t="e">
        <f t="shared" si="9"/>
        <v>#N/A</v>
      </c>
      <c r="V53" s="259" t="e">
        <f t="shared" si="10"/>
        <v>#N/A</v>
      </c>
      <c r="W53" s="259" t="e">
        <f t="shared" si="33"/>
        <v>#N/A</v>
      </c>
      <c r="X53" s="259" t="e">
        <f ca="1" t="shared" si="34"/>
        <v>#N/A</v>
      </c>
      <c r="Y53" s="259" t="e">
        <f t="shared" si="11"/>
        <v>#N/A</v>
      </c>
      <c r="Z53" s="259" t="e">
        <f t="shared" si="35"/>
        <v>#N/A</v>
      </c>
    </row>
    <row r="54" spans="1:26" ht="12.75" outlineLevel="1">
      <c r="A54" s="297"/>
      <c r="B54" s="250">
        <v>47</v>
      </c>
      <c r="C54" s="315">
        <f>IF(OR($A54=0,$A54=" "),0,VLOOKUP($A54,eszamfak!$A$5:$M$99,3))</f>
        <v>0</v>
      </c>
      <c r="D54" s="251"/>
      <c r="E54" s="252" t="e">
        <f t="shared" si="19"/>
        <v>#N/A</v>
      </c>
      <c r="F54" s="253" t="e">
        <f t="shared" si="30"/>
        <v>#N/A</v>
      </c>
      <c r="G54" s="254" t="e">
        <f t="shared" si="31"/>
        <v>#N/A</v>
      </c>
      <c r="H54" s="255" t="e">
        <f t="shared" si="32"/>
        <v>#N/A</v>
      </c>
      <c r="I54" s="264"/>
      <c r="J54" s="265"/>
      <c r="K54" s="265"/>
      <c r="L54" s="265"/>
      <c r="M54" s="265"/>
      <c r="N54" s="265"/>
      <c r="O54" s="291"/>
      <c r="P54" s="290">
        <f t="shared" si="14"/>
        <v>0</v>
      </c>
      <c r="Q54" s="256" t="e">
        <f t="shared" si="8"/>
        <v>#N/A</v>
      </c>
      <c r="R54" s="251"/>
      <c r="S54" s="257">
        <f t="shared" si="15"/>
        <v>0</v>
      </c>
      <c r="T54" s="256" t="e">
        <f t="shared" si="9"/>
        <v>#N/A</v>
      </c>
      <c r="V54" s="259" t="e">
        <f t="shared" si="10"/>
        <v>#N/A</v>
      </c>
      <c r="W54" s="259" t="e">
        <f t="shared" si="33"/>
        <v>#N/A</v>
      </c>
      <c r="X54" s="259" t="e">
        <f ca="1" t="shared" si="34"/>
        <v>#N/A</v>
      </c>
      <c r="Y54" s="259" t="e">
        <f t="shared" si="11"/>
        <v>#N/A</v>
      </c>
      <c r="Z54" s="259" t="e">
        <f t="shared" si="35"/>
        <v>#N/A</v>
      </c>
    </row>
    <row r="55" spans="1:26" ht="12.75" outlineLevel="1">
      <c r="A55" s="297"/>
      <c r="B55" s="250">
        <v>48</v>
      </c>
      <c r="C55" s="315">
        <f>IF(OR($A55=0,$A55=" "),0,VLOOKUP($A55,eszamfak!$A$5:$M$99,3))</f>
        <v>0</v>
      </c>
      <c r="D55" s="251"/>
      <c r="E55" s="252" t="e">
        <f t="shared" si="19"/>
        <v>#N/A</v>
      </c>
      <c r="F55" s="253" t="e">
        <f t="shared" si="30"/>
        <v>#N/A</v>
      </c>
      <c r="G55" s="254" t="e">
        <f t="shared" si="31"/>
        <v>#N/A</v>
      </c>
      <c r="H55" s="255" t="e">
        <f t="shared" si="32"/>
        <v>#N/A</v>
      </c>
      <c r="I55" s="264"/>
      <c r="J55" s="265"/>
      <c r="K55" s="265"/>
      <c r="L55" s="265"/>
      <c r="M55" s="265"/>
      <c r="N55" s="265"/>
      <c r="O55" s="291"/>
      <c r="P55" s="290">
        <f t="shared" si="14"/>
        <v>0</v>
      </c>
      <c r="Q55" s="256" t="e">
        <f t="shared" si="8"/>
        <v>#N/A</v>
      </c>
      <c r="R55" s="251"/>
      <c r="S55" s="257">
        <f t="shared" si="15"/>
        <v>0</v>
      </c>
      <c r="T55" s="256" t="e">
        <f t="shared" si="9"/>
        <v>#N/A</v>
      </c>
      <c r="V55" s="259" t="e">
        <f t="shared" si="10"/>
        <v>#N/A</v>
      </c>
      <c r="W55" s="259" t="e">
        <f t="shared" si="33"/>
        <v>#N/A</v>
      </c>
      <c r="X55" s="259" t="e">
        <f ca="1" t="shared" si="34"/>
        <v>#N/A</v>
      </c>
      <c r="Y55" s="259" t="e">
        <f t="shared" si="11"/>
        <v>#N/A</v>
      </c>
      <c r="Z55" s="259" t="e">
        <f t="shared" si="35"/>
        <v>#N/A</v>
      </c>
    </row>
    <row r="56" spans="1:26" ht="12.75" outlineLevel="1">
      <c r="A56" s="297"/>
      <c r="B56" s="250">
        <v>49</v>
      </c>
      <c r="C56" s="315">
        <f>IF(OR($A56=0,$A56=" "),0,VLOOKUP($A56,eszamfak!$A$5:$M$99,3))</f>
        <v>0</v>
      </c>
      <c r="D56" s="251"/>
      <c r="E56" s="252" t="e">
        <f t="shared" si="19"/>
        <v>#N/A</v>
      </c>
      <c r="F56" s="253" t="e">
        <f t="shared" si="30"/>
        <v>#N/A</v>
      </c>
      <c r="G56" s="254" t="e">
        <f t="shared" si="31"/>
        <v>#N/A</v>
      </c>
      <c r="H56" s="255" t="e">
        <f t="shared" si="32"/>
        <v>#N/A</v>
      </c>
      <c r="I56" s="264"/>
      <c r="J56" s="265"/>
      <c r="K56" s="265"/>
      <c r="L56" s="265"/>
      <c r="M56" s="265"/>
      <c r="N56" s="265"/>
      <c r="O56" s="291"/>
      <c r="P56" s="290">
        <f t="shared" si="14"/>
        <v>0</v>
      </c>
      <c r="Q56" s="256" t="e">
        <f t="shared" si="8"/>
        <v>#N/A</v>
      </c>
      <c r="R56" s="251"/>
      <c r="S56" s="257">
        <f t="shared" si="15"/>
        <v>0</v>
      </c>
      <c r="T56" s="256" t="e">
        <f t="shared" si="9"/>
        <v>#N/A</v>
      </c>
      <c r="V56" s="259" t="e">
        <f t="shared" si="10"/>
        <v>#N/A</v>
      </c>
      <c r="W56" s="259" t="e">
        <f t="shared" si="33"/>
        <v>#N/A</v>
      </c>
      <c r="X56" s="259" t="e">
        <f ca="1" t="shared" si="34"/>
        <v>#N/A</v>
      </c>
      <c r="Y56" s="259" t="e">
        <f t="shared" si="11"/>
        <v>#N/A</v>
      </c>
      <c r="Z56" s="259" t="e">
        <f t="shared" si="35"/>
        <v>#N/A</v>
      </c>
    </row>
    <row r="57" spans="1:26" ht="12.75" outlineLevel="1">
      <c r="A57" s="297"/>
      <c r="B57" s="250">
        <v>50</v>
      </c>
      <c r="C57" s="315">
        <f>IF(OR($A57=0,$A57=" "),0,VLOOKUP($A57,eszamfak!$A$5:$M$99,3))</f>
        <v>0</v>
      </c>
      <c r="D57" s="251"/>
      <c r="E57" s="252" t="e">
        <f t="shared" si="19"/>
        <v>#N/A</v>
      </c>
      <c r="F57" s="253" t="e">
        <f t="shared" si="30"/>
        <v>#N/A</v>
      </c>
      <c r="G57" s="254" t="e">
        <f t="shared" si="31"/>
        <v>#N/A</v>
      </c>
      <c r="H57" s="255" t="e">
        <f t="shared" si="32"/>
        <v>#N/A</v>
      </c>
      <c r="I57" s="264"/>
      <c r="J57" s="265"/>
      <c r="K57" s="265"/>
      <c r="L57" s="265"/>
      <c r="M57" s="265"/>
      <c r="N57" s="265"/>
      <c r="O57" s="291"/>
      <c r="P57" s="290">
        <f t="shared" si="14"/>
        <v>0</v>
      </c>
      <c r="Q57" s="256" t="e">
        <f t="shared" si="8"/>
        <v>#N/A</v>
      </c>
      <c r="R57" s="251"/>
      <c r="S57" s="257">
        <f t="shared" si="15"/>
        <v>0</v>
      </c>
      <c r="T57" s="256" t="e">
        <f t="shared" si="9"/>
        <v>#N/A</v>
      </c>
      <c r="V57" s="259" t="e">
        <f t="shared" si="10"/>
        <v>#N/A</v>
      </c>
      <c r="W57" s="259" t="e">
        <f t="shared" si="33"/>
        <v>#N/A</v>
      </c>
      <c r="X57" s="259" t="e">
        <f ca="1" t="shared" si="34"/>
        <v>#N/A</v>
      </c>
      <c r="Y57" s="259" t="e">
        <f t="shared" si="11"/>
        <v>#N/A</v>
      </c>
      <c r="Z57" s="259" t="e">
        <f t="shared" si="35"/>
        <v>#N/A</v>
      </c>
    </row>
    <row r="58" spans="1:26" ht="12.75" outlineLevel="1">
      <c r="A58" s="297"/>
      <c r="B58" s="250">
        <v>51</v>
      </c>
      <c r="C58" s="315">
        <f>IF(OR($A58=0,$A58=" "),0,VLOOKUP($A58,eszamfak!$A$5:$M$99,3))</f>
        <v>0</v>
      </c>
      <c r="D58" s="251"/>
      <c r="E58" s="252" t="e">
        <f t="shared" si="19"/>
        <v>#N/A</v>
      </c>
      <c r="F58" s="253" t="e">
        <f t="shared" si="30"/>
        <v>#N/A</v>
      </c>
      <c r="G58" s="254" t="e">
        <f t="shared" si="31"/>
        <v>#N/A</v>
      </c>
      <c r="H58" s="255" t="e">
        <f t="shared" si="32"/>
        <v>#N/A</v>
      </c>
      <c r="I58" s="264"/>
      <c r="J58" s="265"/>
      <c r="K58" s="265"/>
      <c r="L58" s="265"/>
      <c r="M58" s="265"/>
      <c r="N58" s="265"/>
      <c r="O58" s="291"/>
      <c r="P58" s="290">
        <f t="shared" si="14"/>
        <v>0</v>
      </c>
      <c r="Q58" s="256" t="e">
        <f aca="true" t="shared" si="36" ref="Q58:Q107">0.00397*P58*F58^2</f>
        <v>#N/A</v>
      </c>
      <c r="R58" s="251"/>
      <c r="S58" s="257">
        <f t="shared" si="15"/>
        <v>0</v>
      </c>
      <c r="T58" s="256" t="e">
        <f aca="true" t="shared" si="37" ref="T58:T107">H58+Q58+S58</f>
        <v>#N/A</v>
      </c>
      <c r="V58" s="259" t="e">
        <f t="shared" si="10"/>
        <v>#N/A</v>
      </c>
      <c r="W58" s="259" t="e">
        <f t="shared" si="33"/>
        <v>#N/A</v>
      </c>
      <c r="X58" s="259" t="e">
        <f ca="1" t="shared" si="34"/>
        <v>#N/A</v>
      </c>
      <c r="Y58" s="259" t="e">
        <f t="shared" si="11"/>
        <v>#N/A</v>
      </c>
      <c r="Z58" s="259" t="e">
        <f t="shared" si="35"/>
        <v>#N/A</v>
      </c>
    </row>
    <row r="59" spans="1:26" ht="12.75" outlineLevel="1">
      <c r="A59" s="297"/>
      <c r="B59" s="250">
        <v>52</v>
      </c>
      <c r="C59" s="315">
        <f>IF(OR($A59=0,$A59=" "),0,VLOOKUP($A59,eszamfak!$A$5:$M$99,3))</f>
        <v>0</v>
      </c>
      <c r="D59" s="251"/>
      <c r="E59" s="252" t="e">
        <f t="shared" si="19"/>
        <v>#N/A</v>
      </c>
      <c r="F59" s="253" t="e">
        <f t="shared" si="30"/>
        <v>#N/A</v>
      </c>
      <c r="G59" s="254" t="e">
        <f t="shared" si="31"/>
        <v>#N/A</v>
      </c>
      <c r="H59" s="255" t="e">
        <f t="shared" si="32"/>
        <v>#N/A</v>
      </c>
      <c r="I59" s="264"/>
      <c r="J59" s="265"/>
      <c r="K59" s="265"/>
      <c r="L59" s="265"/>
      <c r="M59" s="265"/>
      <c r="N59" s="265"/>
      <c r="O59" s="291"/>
      <c r="P59" s="290">
        <f t="shared" si="14"/>
        <v>0</v>
      </c>
      <c r="Q59" s="256" t="e">
        <f t="shared" si="36"/>
        <v>#N/A</v>
      </c>
      <c r="R59" s="251"/>
      <c r="S59" s="257">
        <f t="shared" si="15"/>
        <v>0</v>
      </c>
      <c r="T59" s="256" t="e">
        <f t="shared" si="37"/>
        <v>#N/A</v>
      </c>
      <c r="V59" s="259" t="e">
        <f t="shared" si="10"/>
        <v>#N/A</v>
      </c>
      <c r="W59" s="259" t="e">
        <f t="shared" si="33"/>
        <v>#N/A</v>
      </c>
      <c r="X59" s="259" t="e">
        <f ca="1" t="shared" si="34"/>
        <v>#N/A</v>
      </c>
      <c r="Y59" s="259" t="e">
        <f t="shared" si="11"/>
        <v>#N/A</v>
      </c>
      <c r="Z59" s="259" t="e">
        <f t="shared" si="35"/>
        <v>#N/A</v>
      </c>
    </row>
    <row r="60" spans="1:26" ht="12.75" outlineLevel="1">
      <c r="A60" s="297"/>
      <c r="B60" s="250">
        <v>53</v>
      </c>
      <c r="C60" s="315">
        <f>IF(OR($A60=0,$A60=" "),0,VLOOKUP($A60,eszamfak!$A$5:$M$99,3))</f>
        <v>0</v>
      </c>
      <c r="D60" s="251"/>
      <c r="E60" s="252" t="e">
        <f aca="true" t="shared" si="38" ref="E60:E71">IF(VLOOKUP(C60,din15,2)&lt;$AC$4,15,IF(VLOOKUP(C60,din20,2)&lt;$AC$4,20,IF(VLOOKUP(C60,din25,2)&lt;$AC$4,25,IF(VLOOKUP(C60,din32,2)&lt;$AC$4,32,IF(VLOOKUP(C60,din40,2)&lt;$AC$4,40,IF(VLOOKUP(C60,din50,2)&lt;$AC$4,50,IF(VLOOKUP(C60,din65,2)&lt;$AC$4,65,"")))))))</f>
        <v>#N/A</v>
      </c>
      <c r="F60" s="253" t="e">
        <f t="shared" si="30"/>
        <v>#N/A</v>
      </c>
      <c r="G60" s="254" t="e">
        <f t="shared" si="31"/>
        <v>#N/A</v>
      </c>
      <c r="H60" s="255" t="e">
        <f t="shared" si="32"/>
        <v>#N/A</v>
      </c>
      <c r="I60" s="264"/>
      <c r="J60" s="265"/>
      <c r="K60" s="265"/>
      <c r="L60" s="265"/>
      <c r="M60" s="265"/>
      <c r="N60" s="265"/>
      <c r="O60" s="291"/>
      <c r="P60" s="290">
        <f t="shared" si="14"/>
        <v>0</v>
      </c>
      <c r="Q60" s="256" t="e">
        <f t="shared" si="36"/>
        <v>#N/A</v>
      </c>
      <c r="R60" s="251"/>
      <c r="S60" s="257">
        <f t="shared" si="15"/>
        <v>0</v>
      </c>
      <c r="T60" s="256" t="e">
        <f t="shared" si="37"/>
        <v>#N/A</v>
      </c>
      <c r="V60" s="259" t="e">
        <f t="shared" si="10"/>
        <v>#N/A</v>
      </c>
      <c r="W60" s="259" t="e">
        <f t="shared" si="33"/>
        <v>#N/A</v>
      </c>
      <c r="X60" s="259" t="e">
        <f ca="1" t="shared" si="34"/>
        <v>#N/A</v>
      </c>
      <c r="Y60" s="259" t="e">
        <f t="shared" si="11"/>
        <v>#N/A</v>
      </c>
      <c r="Z60" s="259" t="e">
        <f t="shared" si="35"/>
        <v>#N/A</v>
      </c>
    </row>
    <row r="61" spans="1:26" ht="12.75" outlineLevel="1">
      <c r="A61" s="297"/>
      <c r="B61" s="250">
        <v>54</v>
      </c>
      <c r="C61" s="315">
        <f>IF(OR($A61=0,$A61=" "),0,VLOOKUP($A61,eszamfak!$A$5:$M$99,3))</f>
        <v>0</v>
      </c>
      <c r="D61" s="251"/>
      <c r="E61" s="252" t="e">
        <f t="shared" si="38"/>
        <v>#N/A</v>
      </c>
      <c r="F61" s="253" t="e">
        <f t="shared" si="30"/>
        <v>#N/A</v>
      </c>
      <c r="G61" s="254" t="e">
        <f t="shared" si="31"/>
        <v>#N/A</v>
      </c>
      <c r="H61" s="255" t="e">
        <f t="shared" si="32"/>
        <v>#N/A</v>
      </c>
      <c r="I61" s="264"/>
      <c r="J61" s="265"/>
      <c r="K61" s="265"/>
      <c r="L61" s="265"/>
      <c r="M61" s="265"/>
      <c r="N61" s="265"/>
      <c r="O61" s="291"/>
      <c r="P61" s="290">
        <f t="shared" si="14"/>
        <v>0</v>
      </c>
      <c r="Q61" s="256" t="e">
        <f t="shared" si="36"/>
        <v>#N/A</v>
      </c>
      <c r="R61" s="251"/>
      <c r="S61" s="257">
        <f t="shared" si="15"/>
        <v>0</v>
      </c>
      <c r="T61" s="256" t="e">
        <f t="shared" si="37"/>
        <v>#N/A</v>
      </c>
      <c r="V61" s="259" t="e">
        <f t="shared" si="10"/>
        <v>#N/A</v>
      </c>
      <c r="W61" s="259" t="e">
        <f t="shared" si="33"/>
        <v>#N/A</v>
      </c>
      <c r="X61" s="259" t="e">
        <f ca="1" t="shared" si="34"/>
        <v>#N/A</v>
      </c>
      <c r="Y61" s="259" t="e">
        <f t="shared" si="11"/>
        <v>#N/A</v>
      </c>
      <c r="Z61" s="259" t="e">
        <f t="shared" si="35"/>
        <v>#N/A</v>
      </c>
    </row>
    <row r="62" spans="1:26" ht="12.75" outlineLevel="1">
      <c r="A62" s="297"/>
      <c r="B62" s="250">
        <v>55</v>
      </c>
      <c r="C62" s="315">
        <f>IF(OR($A62=0,$A62=" "),0,VLOOKUP($A62,eszamfak!$A$5:$M$99,3))</f>
        <v>0</v>
      </c>
      <c r="D62" s="251"/>
      <c r="E62" s="252" t="e">
        <f t="shared" si="38"/>
        <v>#N/A</v>
      </c>
      <c r="F62" s="253" t="e">
        <f t="shared" si="30"/>
        <v>#N/A</v>
      </c>
      <c r="G62" s="254" t="e">
        <f t="shared" si="31"/>
        <v>#N/A</v>
      </c>
      <c r="H62" s="255" t="e">
        <f t="shared" si="32"/>
        <v>#N/A</v>
      </c>
      <c r="I62" s="264"/>
      <c r="J62" s="265"/>
      <c r="K62" s="265"/>
      <c r="L62" s="265"/>
      <c r="M62" s="265"/>
      <c r="N62" s="265"/>
      <c r="O62" s="291"/>
      <c r="P62" s="290">
        <f t="shared" si="14"/>
        <v>0</v>
      </c>
      <c r="Q62" s="256" t="e">
        <f t="shared" si="36"/>
        <v>#N/A</v>
      </c>
      <c r="R62" s="251"/>
      <c r="S62" s="257">
        <f t="shared" si="15"/>
        <v>0</v>
      </c>
      <c r="T62" s="256" t="e">
        <f t="shared" si="37"/>
        <v>#N/A</v>
      </c>
      <c r="V62" s="259" t="e">
        <f t="shared" si="10"/>
        <v>#N/A</v>
      </c>
      <c r="W62" s="259" t="e">
        <f t="shared" si="33"/>
        <v>#N/A</v>
      </c>
      <c r="X62" s="259" t="e">
        <f ca="1" t="shared" si="34"/>
        <v>#N/A</v>
      </c>
      <c r="Y62" s="259" t="e">
        <f t="shared" si="11"/>
        <v>#N/A</v>
      </c>
      <c r="Z62" s="259" t="e">
        <f t="shared" si="35"/>
        <v>#N/A</v>
      </c>
    </row>
    <row r="63" spans="1:26" ht="12.75" outlineLevel="1">
      <c r="A63" s="297"/>
      <c r="B63" s="250">
        <v>56</v>
      </c>
      <c r="C63" s="315">
        <f>IF(OR($A63=0,$A63=" "),0,VLOOKUP($A63,eszamfak!$A$5:$M$99,3))</f>
        <v>0</v>
      </c>
      <c r="D63" s="251"/>
      <c r="E63" s="252" t="e">
        <f t="shared" si="38"/>
        <v>#N/A</v>
      </c>
      <c r="F63" s="253" t="e">
        <f t="shared" si="30"/>
        <v>#N/A</v>
      </c>
      <c r="G63" s="254" t="e">
        <f t="shared" si="31"/>
        <v>#N/A</v>
      </c>
      <c r="H63" s="255" t="e">
        <f t="shared" si="32"/>
        <v>#N/A</v>
      </c>
      <c r="I63" s="264"/>
      <c r="J63" s="265"/>
      <c r="K63" s="265"/>
      <c r="L63" s="265"/>
      <c r="M63" s="265"/>
      <c r="N63" s="265"/>
      <c r="O63" s="291"/>
      <c r="P63" s="290">
        <f t="shared" si="14"/>
        <v>0</v>
      </c>
      <c r="Q63" s="256" t="e">
        <f t="shared" si="36"/>
        <v>#N/A</v>
      </c>
      <c r="R63" s="251"/>
      <c r="S63" s="257">
        <f t="shared" si="15"/>
        <v>0</v>
      </c>
      <c r="T63" s="256" t="e">
        <f t="shared" si="37"/>
        <v>#N/A</v>
      </c>
      <c r="V63" s="259" t="e">
        <f t="shared" si="10"/>
        <v>#N/A</v>
      </c>
      <c r="W63" s="259" t="e">
        <f t="shared" si="33"/>
        <v>#N/A</v>
      </c>
      <c r="X63" s="259" t="e">
        <f ca="1" t="shared" si="34"/>
        <v>#N/A</v>
      </c>
      <c r="Y63" s="259" t="e">
        <f t="shared" si="11"/>
        <v>#N/A</v>
      </c>
      <c r="Z63" s="259" t="e">
        <f t="shared" si="35"/>
        <v>#N/A</v>
      </c>
    </row>
    <row r="64" spans="1:26" ht="12.75" outlineLevel="1">
      <c r="A64" s="297"/>
      <c r="B64" s="250">
        <v>57</v>
      </c>
      <c r="C64" s="315">
        <f>IF(OR($A64=0,$A64=" "),0,VLOOKUP($A64,eszamfak!$A$5:$M$99,3))</f>
        <v>0</v>
      </c>
      <c r="D64" s="251"/>
      <c r="E64" s="252" t="e">
        <f t="shared" si="38"/>
        <v>#N/A</v>
      </c>
      <c r="F64" s="253" t="e">
        <f t="shared" si="30"/>
        <v>#N/A</v>
      </c>
      <c r="G64" s="254" t="e">
        <f t="shared" si="31"/>
        <v>#N/A</v>
      </c>
      <c r="H64" s="255" t="e">
        <f t="shared" si="32"/>
        <v>#N/A</v>
      </c>
      <c r="I64" s="264"/>
      <c r="J64" s="265"/>
      <c r="K64" s="265"/>
      <c r="L64" s="265"/>
      <c r="M64" s="265"/>
      <c r="N64" s="265"/>
      <c r="O64" s="291"/>
      <c r="P64" s="290">
        <f t="shared" si="14"/>
        <v>0</v>
      </c>
      <c r="Q64" s="256" t="e">
        <f t="shared" si="36"/>
        <v>#N/A</v>
      </c>
      <c r="R64" s="251"/>
      <c r="S64" s="257">
        <f t="shared" si="15"/>
        <v>0</v>
      </c>
      <c r="T64" s="256" t="e">
        <f t="shared" si="37"/>
        <v>#N/A</v>
      </c>
      <c r="V64" s="259" t="e">
        <f t="shared" si="10"/>
        <v>#N/A</v>
      </c>
      <c r="W64" s="259" t="e">
        <f t="shared" si="33"/>
        <v>#N/A</v>
      </c>
      <c r="X64" s="259" t="e">
        <f ca="1" t="shared" si="34"/>
        <v>#N/A</v>
      </c>
      <c r="Y64" s="259" t="e">
        <f t="shared" si="11"/>
        <v>#N/A</v>
      </c>
      <c r="Z64" s="259" t="e">
        <f t="shared" si="35"/>
        <v>#N/A</v>
      </c>
    </row>
    <row r="65" spans="1:26" ht="12.75" outlineLevel="1">
      <c r="A65" s="297"/>
      <c r="B65" s="250">
        <v>58</v>
      </c>
      <c r="C65" s="315">
        <f>IF(OR($A65=0,$A65=" "),0,VLOOKUP($A65,eszamfak!$A$5:$M$99,3))</f>
        <v>0</v>
      </c>
      <c r="D65" s="251"/>
      <c r="E65" s="252" t="e">
        <f t="shared" si="38"/>
        <v>#N/A</v>
      </c>
      <c r="F65" s="253" t="e">
        <f t="shared" si="30"/>
        <v>#N/A</v>
      </c>
      <c r="G65" s="254" t="e">
        <f t="shared" si="31"/>
        <v>#N/A</v>
      </c>
      <c r="H65" s="255" t="e">
        <f t="shared" si="32"/>
        <v>#N/A</v>
      </c>
      <c r="I65" s="264"/>
      <c r="J65" s="265"/>
      <c r="K65" s="265"/>
      <c r="L65" s="265"/>
      <c r="M65" s="265"/>
      <c r="N65" s="265"/>
      <c r="O65" s="291"/>
      <c r="P65" s="290">
        <f t="shared" si="14"/>
        <v>0</v>
      </c>
      <c r="Q65" s="256" t="e">
        <f t="shared" si="36"/>
        <v>#N/A</v>
      </c>
      <c r="R65" s="251"/>
      <c r="S65" s="257">
        <f t="shared" si="15"/>
        <v>0</v>
      </c>
      <c r="T65" s="256" t="e">
        <f t="shared" si="37"/>
        <v>#N/A</v>
      </c>
      <c r="V65" s="259" t="e">
        <f t="shared" si="10"/>
        <v>#N/A</v>
      </c>
      <c r="W65" s="259" t="e">
        <f t="shared" si="33"/>
        <v>#N/A</v>
      </c>
      <c r="X65" s="259" t="e">
        <f ca="1" t="shared" si="34"/>
        <v>#N/A</v>
      </c>
      <c r="Y65" s="259" t="e">
        <f t="shared" si="11"/>
        <v>#N/A</v>
      </c>
      <c r="Z65" s="259" t="e">
        <f t="shared" si="35"/>
        <v>#N/A</v>
      </c>
    </row>
    <row r="66" spans="1:26" ht="12.75" outlineLevel="1">
      <c r="A66" s="297"/>
      <c r="B66" s="250">
        <v>59</v>
      </c>
      <c r="C66" s="315">
        <f>IF(OR($A66=0,$A66=" "),0,VLOOKUP($A66,eszamfak!$A$5:$M$99,3))</f>
        <v>0</v>
      </c>
      <c r="D66" s="251"/>
      <c r="E66" s="252" t="e">
        <f t="shared" si="38"/>
        <v>#N/A</v>
      </c>
      <c r="F66" s="253" t="e">
        <f t="shared" si="30"/>
        <v>#N/A</v>
      </c>
      <c r="G66" s="254" t="e">
        <f t="shared" si="31"/>
        <v>#N/A</v>
      </c>
      <c r="H66" s="255" t="e">
        <f t="shared" si="32"/>
        <v>#N/A</v>
      </c>
      <c r="I66" s="264"/>
      <c r="J66" s="265"/>
      <c r="K66" s="265"/>
      <c r="L66" s="265"/>
      <c r="M66" s="265"/>
      <c r="N66" s="265"/>
      <c r="O66" s="291"/>
      <c r="P66" s="290">
        <f t="shared" si="14"/>
        <v>0</v>
      </c>
      <c r="Q66" s="256" t="e">
        <f t="shared" si="36"/>
        <v>#N/A</v>
      </c>
      <c r="R66" s="251"/>
      <c r="S66" s="257">
        <f t="shared" si="15"/>
        <v>0</v>
      </c>
      <c r="T66" s="256" t="e">
        <f t="shared" si="37"/>
        <v>#N/A</v>
      </c>
      <c r="V66" s="259" t="e">
        <f t="shared" si="10"/>
        <v>#N/A</v>
      </c>
      <c r="W66" s="259" t="e">
        <f t="shared" si="33"/>
        <v>#N/A</v>
      </c>
      <c r="X66" s="259" t="e">
        <f ca="1" t="shared" si="34"/>
        <v>#N/A</v>
      </c>
      <c r="Y66" s="259" t="e">
        <f t="shared" si="11"/>
        <v>#N/A</v>
      </c>
      <c r="Z66" s="259" t="e">
        <f t="shared" si="35"/>
        <v>#N/A</v>
      </c>
    </row>
    <row r="67" spans="1:26" ht="12.75" outlineLevel="1">
      <c r="A67" s="297"/>
      <c r="B67" s="250">
        <v>60</v>
      </c>
      <c r="C67" s="315">
        <f>IF(OR($A67=0,$A67=" "),0,VLOOKUP($A67,eszamfak!$A$5:$M$99,3))</f>
        <v>0</v>
      </c>
      <c r="D67" s="251"/>
      <c r="E67" s="252" t="e">
        <f t="shared" si="38"/>
        <v>#N/A</v>
      </c>
      <c r="F67" s="253" t="e">
        <f t="shared" si="30"/>
        <v>#N/A</v>
      </c>
      <c r="G67" s="254" t="e">
        <f t="shared" si="31"/>
        <v>#N/A</v>
      </c>
      <c r="H67" s="255" t="e">
        <f t="shared" si="32"/>
        <v>#N/A</v>
      </c>
      <c r="I67" s="264"/>
      <c r="J67" s="265"/>
      <c r="K67" s="265"/>
      <c r="L67" s="265"/>
      <c r="M67" s="265"/>
      <c r="N67" s="265"/>
      <c r="O67" s="291"/>
      <c r="P67" s="290">
        <f t="shared" si="14"/>
        <v>0</v>
      </c>
      <c r="Q67" s="256" t="e">
        <f t="shared" si="36"/>
        <v>#N/A</v>
      </c>
      <c r="R67" s="251"/>
      <c r="S67" s="257">
        <f t="shared" si="15"/>
        <v>0</v>
      </c>
      <c r="T67" s="256" t="e">
        <f t="shared" si="37"/>
        <v>#N/A</v>
      </c>
      <c r="V67" s="259" t="e">
        <f t="shared" si="10"/>
        <v>#N/A</v>
      </c>
      <c r="W67" s="259" t="e">
        <f t="shared" si="33"/>
        <v>#N/A</v>
      </c>
      <c r="X67" s="259" t="e">
        <f ca="1" t="shared" si="34"/>
        <v>#N/A</v>
      </c>
      <c r="Y67" s="259" t="e">
        <f t="shared" si="11"/>
        <v>#N/A</v>
      </c>
      <c r="Z67" s="259" t="e">
        <f t="shared" si="35"/>
        <v>#N/A</v>
      </c>
    </row>
    <row r="68" spans="1:26" ht="12.75" outlineLevel="1">
      <c r="A68" s="297"/>
      <c r="B68" s="250">
        <v>61</v>
      </c>
      <c r="C68" s="315">
        <f>IF(OR($A68=0,$A68=" "),0,VLOOKUP($A68,eszamfak!$A$5:$M$99,3))</f>
        <v>0</v>
      </c>
      <c r="D68" s="251"/>
      <c r="E68" s="252" t="e">
        <f t="shared" si="38"/>
        <v>#N/A</v>
      </c>
      <c r="F68" s="253" t="e">
        <f t="shared" si="30"/>
        <v>#N/A</v>
      </c>
      <c r="G68" s="254" t="e">
        <f t="shared" si="31"/>
        <v>#N/A</v>
      </c>
      <c r="H68" s="255" t="e">
        <f t="shared" si="32"/>
        <v>#N/A</v>
      </c>
      <c r="I68" s="264"/>
      <c r="J68" s="265"/>
      <c r="K68" s="265"/>
      <c r="L68" s="265"/>
      <c r="M68" s="265"/>
      <c r="N68" s="265"/>
      <c r="O68" s="291"/>
      <c r="P68" s="290">
        <f t="shared" si="14"/>
        <v>0</v>
      </c>
      <c r="Q68" s="256" t="e">
        <f t="shared" si="36"/>
        <v>#N/A</v>
      </c>
      <c r="R68" s="251"/>
      <c r="S68" s="257">
        <f t="shared" si="15"/>
        <v>0</v>
      </c>
      <c r="T68" s="256" t="e">
        <f t="shared" si="37"/>
        <v>#N/A</v>
      </c>
      <c r="V68" s="259" t="e">
        <f t="shared" si="10"/>
        <v>#N/A</v>
      </c>
      <c r="W68" s="259" t="e">
        <f t="shared" si="33"/>
        <v>#N/A</v>
      </c>
      <c r="X68" s="259" t="e">
        <f ca="1" t="shared" si="34"/>
        <v>#N/A</v>
      </c>
      <c r="Y68" s="259" t="e">
        <f t="shared" si="11"/>
        <v>#N/A</v>
      </c>
      <c r="Z68" s="259" t="e">
        <f t="shared" si="35"/>
        <v>#N/A</v>
      </c>
    </row>
    <row r="69" spans="1:26" ht="12.75" outlineLevel="1">
      <c r="A69" s="297"/>
      <c r="B69" s="250">
        <v>62</v>
      </c>
      <c r="C69" s="315">
        <f>IF(OR($A69=0,$A69=" "),0,VLOOKUP($A69,eszamfak!$A$5:$M$99,3))</f>
        <v>0</v>
      </c>
      <c r="D69" s="251"/>
      <c r="E69" s="252" t="e">
        <f t="shared" si="38"/>
        <v>#N/A</v>
      </c>
      <c r="F69" s="253" t="e">
        <f t="shared" si="30"/>
        <v>#N/A</v>
      </c>
      <c r="G69" s="254" t="e">
        <f t="shared" si="31"/>
        <v>#N/A</v>
      </c>
      <c r="H69" s="255" t="e">
        <f t="shared" si="32"/>
        <v>#N/A</v>
      </c>
      <c r="I69" s="264"/>
      <c r="J69" s="265"/>
      <c r="K69" s="265"/>
      <c r="L69" s="265"/>
      <c r="M69" s="265"/>
      <c r="N69" s="265"/>
      <c r="O69" s="291"/>
      <c r="P69" s="290">
        <f t="shared" si="14"/>
        <v>0</v>
      </c>
      <c r="Q69" s="256" t="e">
        <f t="shared" si="36"/>
        <v>#N/A</v>
      </c>
      <c r="R69" s="251"/>
      <c r="S69" s="257">
        <f t="shared" si="15"/>
        <v>0</v>
      </c>
      <c r="T69" s="256" t="e">
        <f t="shared" si="37"/>
        <v>#N/A</v>
      </c>
      <c r="V69" s="259" t="e">
        <f t="shared" si="10"/>
        <v>#N/A</v>
      </c>
      <c r="W69" s="259" t="e">
        <f t="shared" si="33"/>
        <v>#N/A</v>
      </c>
      <c r="X69" s="259" t="e">
        <f ca="1" t="shared" si="34"/>
        <v>#N/A</v>
      </c>
      <c r="Y69" s="259" t="e">
        <f t="shared" si="11"/>
        <v>#N/A</v>
      </c>
      <c r="Z69" s="259" t="e">
        <f t="shared" si="35"/>
        <v>#N/A</v>
      </c>
    </row>
    <row r="70" spans="1:26" ht="12.75" outlineLevel="1">
      <c r="A70" s="297"/>
      <c r="B70" s="250">
        <v>63</v>
      </c>
      <c r="C70" s="315">
        <f>IF(OR($A70=0,$A70=" "),0,VLOOKUP($A70,eszamfak!$A$5:$M$99,3))</f>
        <v>0</v>
      </c>
      <c r="D70" s="251"/>
      <c r="E70" s="252" t="e">
        <f t="shared" si="38"/>
        <v>#N/A</v>
      </c>
      <c r="F70" s="253" t="e">
        <f t="shared" si="30"/>
        <v>#N/A</v>
      </c>
      <c r="G70" s="254" t="e">
        <f t="shared" si="31"/>
        <v>#N/A</v>
      </c>
      <c r="H70" s="255" t="e">
        <f t="shared" si="32"/>
        <v>#N/A</v>
      </c>
      <c r="I70" s="264"/>
      <c r="J70" s="265"/>
      <c r="K70" s="265"/>
      <c r="L70" s="265"/>
      <c r="M70" s="265"/>
      <c r="N70" s="265"/>
      <c r="O70" s="291"/>
      <c r="P70" s="290">
        <f t="shared" si="14"/>
        <v>0</v>
      </c>
      <c r="Q70" s="256" t="e">
        <f t="shared" si="36"/>
        <v>#N/A</v>
      </c>
      <c r="R70" s="251"/>
      <c r="S70" s="257">
        <f t="shared" si="15"/>
        <v>0</v>
      </c>
      <c r="T70" s="256" t="e">
        <f t="shared" si="37"/>
        <v>#N/A</v>
      </c>
      <c r="V70" s="259" t="e">
        <f t="shared" si="10"/>
        <v>#N/A</v>
      </c>
      <c r="W70" s="259" t="e">
        <f t="shared" si="33"/>
        <v>#N/A</v>
      </c>
      <c r="X70" s="259" t="e">
        <f ca="1" t="shared" si="34"/>
        <v>#N/A</v>
      </c>
      <c r="Y70" s="259" t="e">
        <f t="shared" si="11"/>
        <v>#N/A</v>
      </c>
      <c r="Z70" s="259" t="e">
        <f t="shared" si="35"/>
        <v>#N/A</v>
      </c>
    </row>
    <row r="71" spans="1:26" ht="12.75" outlineLevel="1">
      <c r="A71" s="297"/>
      <c r="B71" s="250">
        <v>64</v>
      </c>
      <c r="C71" s="315">
        <f>IF(OR($A71=0,$A71=" "),0,VLOOKUP($A71,eszamfak!$A$5:$M$99,3))</f>
        <v>0</v>
      </c>
      <c r="D71" s="251"/>
      <c r="E71" s="252" t="e">
        <f t="shared" si="38"/>
        <v>#N/A</v>
      </c>
      <c r="F71" s="253" t="e">
        <f t="shared" si="30"/>
        <v>#N/A</v>
      </c>
      <c r="G71" s="254" t="e">
        <f t="shared" si="31"/>
        <v>#N/A</v>
      </c>
      <c r="H71" s="255" t="e">
        <f t="shared" si="32"/>
        <v>#N/A</v>
      </c>
      <c r="I71" s="264"/>
      <c r="J71" s="265"/>
      <c r="K71" s="265"/>
      <c r="L71" s="265"/>
      <c r="M71" s="265"/>
      <c r="N71" s="265"/>
      <c r="O71" s="291"/>
      <c r="P71" s="290">
        <f t="shared" si="14"/>
        <v>0</v>
      </c>
      <c r="Q71" s="256" t="e">
        <f t="shared" si="36"/>
        <v>#N/A</v>
      </c>
      <c r="R71" s="251"/>
      <c r="S71" s="257">
        <f t="shared" si="15"/>
        <v>0</v>
      </c>
      <c r="T71" s="256" t="e">
        <f t="shared" si="37"/>
        <v>#N/A</v>
      </c>
      <c r="V71" s="259" t="e">
        <f t="shared" si="10"/>
        <v>#N/A</v>
      </c>
      <c r="W71" s="259" t="e">
        <f t="shared" si="33"/>
        <v>#N/A</v>
      </c>
      <c r="X71" s="259" t="e">
        <f ca="1" t="shared" si="34"/>
        <v>#N/A</v>
      </c>
      <c r="Y71" s="259" t="e">
        <f t="shared" si="11"/>
        <v>#N/A</v>
      </c>
      <c r="Z71" s="259" t="e">
        <f t="shared" si="35"/>
        <v>#N/A</v>
      </c>
    </row>
    <row r="72" spans="1:26" ht="12.75" outlineLevel="1">
      <c r="A72" s="297"/>
      <c r="B72" s="250">
        <v>65</v>
      </c>
      <c r="C72" s="315">
        <f>IF(OR($A72=0,$A72=" "),0,VLOOKUP($A72,eszamfak!$A$5:$M$99,3))</f>
        <v>0</v>
      </c>
      <c r="D72" s="251"/>
      <c r="E72" s="252" t="e">
        <f aca="true" t="shared" si="39" ref="E72:E107">IF(VLOOKUP(C72,din15,2)&lt;$AC$4,15,IF(VLOOKUP(C72,din20,2)&lt;$AC$4,20,IF(VLOOKUP(C72,din25,2)&lt;$AC$4,25,IF(VLOOKUP(C72,din32,2)&lt;$AC$4,32,IF(VLOOKUP(C72,din40,2)&lt;$AC$4,40,IF(VLOOKUP(C72,din50,2)&lt;$AC$4,50,IF(VLOOKUP(C72,din65,2)&lt;$AC$4,65,"")))))))</f>
        <v>#N/A</v>
      </c>
      <c r="F72" s="253" t="e">
        <f aca="true" t="shared" si="40" ref="F72:F107">IF($C72&lt;=31,$Z72,$Y72)</f>
        <v>#N/A</v>
      </c>
      <c r="G72" s="254" t="e">
        <f aca="true" t="shared" si="41" ref="G72:G107">IF($C72&lt;31,$X72,$W72/$D72)</f>
        <v>#N/A</v>
      </c>
      <c r="H72" s="255" t="e">
        <f aca="true" t="shared" si="42" ref="H72:H103">D72*G72</f>
        <v>#N/A</v>
      </c>
      <c r="I72" s="264"/>
      <c r="J72" s="265"/>
      <c r="K72" s="265"/>
      <c r="L72" s="265"/>
      <c r="M72" s="265"/>
      <c r="N72" s="265"/>
      <c r="O72" s="291"/>
      <c r="P72" s="290">
        <f t="shared" si="14"/>
        <v>0</v>
      </c>
      <c r="Q72" s="256" t="e">
        <f t="shared" si="36"/>
        <v>#N/A</v>
      </c>
      <c r="R72" s="251"/>
      <c r="S72" s="257">
        <f t="shared" si="15"/>
        <v>0</v>
      </c>
      <c r="T72" s="256" t="e">
        <f t="shared" si="37"/>
        <v>#N/A</v>
      </c>
      <c r="V72" s="259" t="e">
        <f t="shared" si="10"/>
        <v>#N/A</v>
      </c>
      <c r="W72" s="259" t="e">
        <f aca="true" t="shared" si="43" ref="W72:W107">(1.021-$V72)*1000</f>
        <v>#N/A</v>
      </c>
      <c r="X72" s="259" t="e">
        <f aca="true" ca="1" t="shared" si="44" ref="X72:X107">VLOOKUP(IF(MOD($C72,0.5)&lt;&gt;0,($C72-MOD($C72,0.5)),$C72),INDIRECT(CONCATENATE("din",$E72)),3)+(($C72-IF(MOD($C72,0.5)&lt;&gt;0,($C72-MOD($C72,0.5)),$C72))*(VLOOKUP(IF(MOD($C72,0.5)&lt;&gt;0,($C72-MOD($C72,0.5))+0.5,$C72+0.5),INDIRECT(CONCATENATE("din",$E72)),3)-VLOOKUP(IF(MOD($C72,0.5)&lt;&gt;0,($C72-MOD($C72,0.5)),$C72),INDIRECT(CONCATENATE("din",$E72)),3)))/(IF(MOD($C72,0.5)&lt;&gt;0,($C72-MOD($C72,0.5))+0.5,$C72+0.5)-IF(MOD($C72,0.5)&lt;&gt;0,($C72-MOD($C72,0.5)),$C72))</f>
        <v>#N/A</v>
      </c>
      <c r="Y72" s="259" t="e">
        <f t="shared" si="11"/>
        <v>#N/A</v>
      </c>
      <c r="Z72" s="259" t="e">
        <f aca="true" t="shared" si="45" ref="Z72:Z107">IF($E72=15,1.4*$C72,IF($E72=20,0.75*$C72,IF($E72=25,0.475*$C72,IF($E72=32,0.275*$C72,IF($E72=40,0.2*$C72,IF($E72=50,0.125*$C72,IF($E72=65,0.07407*$C72,IF($E72=80,0.05405*$C72,0))))))))</f>
        <v>#N/A</v>
      </c>
    </row>
    <row r="73" spans="1:26" ht="12.75" outlineLevel="1">
      <c r="A73" s="297"/>
      <c r="B73" s="250">
        <v>66</v>
      </c>
      <c r="C73" s="315">
        <f>IF(OR($A73=0,$A73=" "),0,VLOOKUP($A73,eszamfak!$A$5:$M$99,3))</f>
        <v>0</v>
      </c>
      <c r="D73" s="251"/>
      <c r="E73" s="252" t="e">
        <f t="shared" si="39"/>
        <v>#N/A</v>
      </c>
      <c r="F73" s="253" t="e">
        <f t="shared" si="40"/>
        <v>#N/A</v>
      </c>
      <c r="G73" s="254" t="e">
        <f t="shared" si="41"/>
        <v>#N/A</v>
      </c>
      <c r="H73" s="255" t="e">
        <f t="shared" si="42"/>
        <v>#N/A</v>
      </c>
      <c r="I73" s="264"/>
      <c r="J73" s="265"/>
      <c r="K73" s="265"/>
      <c r="L73" s="265"/>
      <c r="M73" s="265"/>
      <c r="N73" s="265"/>
      <c r="O73" s="291"/>
      <c r="P73" s="290">
        <f aca="true" t="shared" si="46" ref="P73:P107">I73*$I$6+J73*$J$6+K73*$K$6+L73*$L$6+M73*$M$6+N73*$N$6+O73*$O$6</f>
        <v>0</v>
      </c>
      <c r="Q73" s="256" t="e">
        <f t="shared" si="36"/>
        <v>#N/A</v>
      </c>
      <c r="R73" s="251"/>
      <c r="S73" s="257">
        <f aca="true" t="shared" si="47" ref="S73:S107">0.049*R73</f>
        <v>0</v>
      </c>
      <c r="T73" s="256" t="e">
        <f t="shared" si="37"/>
        <v>#N/A</v>
      </c>
      <c r="V73" s="259" t="e">
        <f aca="true" t="shared" si="48" ref="V73:V107">1.021-(23.2*0.6*D73*($C73^1.82)/($E73^4.82))</f>
        <v>#N/A</v>
      </c>
      <c r="W73" s="259" t="e">
        <f t="shared" si="43"/>
        <v>#N/A</v>
      </c>
      <c r="X73" s="259" t="e">
        <f ca="1" t="shared" si="44"/>
        <v>#N/A</v>
      </c>
      <c r="Y73" s="259" t="e">
        <f aca="true" t="shared" si="49" ref="Y73:Y107">353.677*$C73/(($E73^2)*$V73)</f>
        <v>#N/A</v>
      </c>
      <c r="Z73" s="259" t="e">
        <f t="shared" si="45"/>
        <v>#N/A</v>
      </c>
    </row>
    <row r="74" spans="1:26" ht="12.75" outlineLevel="1">
      <c r="A74" s="297"/>
      <c r="B74" s="250">
        <v>67</v>
      </c>
      <c r="C74" s="315">
        <f>IF(OR($A74=0,$A74=" "),0,VLOOKUP($A74,eszamfak!$A$5:$M$99,3))</f>
        <v>0</v>
      </c>
      <c r="D74" s="251"/>
      <c r="E74" s="252" t="e">
        <f t="shared" si="39"/>
        <v>#N/A</v>
      </c>
      <c r="F74" s="253" t="e">
        <f t="shared" si="40"/>
        <v>#N/A</v>
      </c>
      <c r="G74" s="254" t="e">
        <f t="shared" si="41"/>
        <v>#N/A</v>
      </c>
      <c r="H74" s="255" t="e">
        <f t="shared" si="42"/>
        <v>#N/A</v>
      </c>
      <c r="I74" s="264"/>
      <c r="J74" s="265"/>
      <c r="K74" s="265"/>
      <c r="L74" s="265"/>
      <c r="M74" s="265"/>
      <c r="N74" s="265"/>
      <c r="O74" s="291"/>
      <c r="P74" s="290">
        <f t="shared" si="46"/>
        <v>0</v>
      </c>
      <c r="Q74" s="256" t="e">
        <f t="shared" si="36"/>
        <v>#N/A</v>
      </c>
      <c r="R74" s="251"/>
      <c r="S74" s="257">
        <f t="shared" si="47"/>
        <v>0</v>
      </c>
      <c r="T74" s="256" t="e">
        <f t="shared" si="37"/>
        <v>#N/A</v>
      </c>
      <c r="V74" s="259" t="e">
        <f t="shared" si="48"/>
        <v>#N/A</v>
      </c>
      <c r="W74" s="259" t="e">
        <f t="shared" si="43"/>
        <v>#N/A</v>
      </c>
      <c r="X74" s="259" t="e">
        <f ca="1" t="shared" si="44"/>
        <v>#N/A</v>
      </c>
      <c r="Y74" s="259" t="e">
        <f t="shared" si="49"/>
        <v>#N/A</v>
      </c>
      <c r="Z74" s="259" t="e">
        <f t="shared" si="45"/>
        <v>#N/A</v>
      </c>
    </row>
    <row r="75" spans="1:26" ht="12.75" outlineLevel="1">
      <c r="A75" s="297"/>
      <c r="B75" s="250">
        <v>68</v>
      </c>
      <c r="C75" s="315">
        <f>IF(OR($A75=0,$A75=" "),0,VLOOKUP($A75,eszamfak!$A$5:$M$99,3))</f>
        <v>0</v>
      </c>
      <c r="D75" s="251"/>
      <c r="E75" s="252" t="e">
        <f t="shared" si="39"/>
        <v>#N/A</v>
      </c>
      <c r="F75" s="253" t="e">
        <f t="shared" si="40"/>
        <v>#N/A</v>
      </c>
      <c r="G75" s="254" t="e">
        <f t="shared" si="41"/>
        <v>#N/A</v>
      </c>
      <c r="H75" s="255" t="e">
        <f t="shared" si="42"/>
        <v>#N/A</v>
      </c>
      <c r="I75" s="264"/>
      <c r="J75" s="265"/>
      <c r="K75" s="265"/>
      <c r="L75" s="265"/>
      <c r="M75" s="265"/>
      <c r="N75" s="265"/>
      <c r="O75" s="291"/>
      <c r="P75" s="290">
        <f t="shared" si="46"/>
        <v>0</v>
      </c>
      <c r="Q75" s="256" t="e">
        <f t="shared" si="36"/>
        <v>#N/A</v>
      </c>
      <c r="R75" s="251"/>
      <c r="S75" s="257">
        <f t="shared" si="47"/>
        <v>0</v>
      </c>
      <c r="T75" s="256" t="e">
        <f t="shared" si="37"/>
        <v>#N/A</v>
      </c>
      <c r="V75" s="259" t="e">
        <f t="shared" si="48"/>
        <v>#N/A</v>
      </c>
      <c r="W75" s="259" t="e">
        <f t="shared" si="43"/>
        <v>#N/A</v>
      </c>
      <c r="X75" s="259" t="e">
        <f ca="1" t="shared" si="44"/>
        <v>#N/A</v>
      </c>
      <c r="Y75" s="259" t="e">
        <f t="shared" si="49"/>
        <v>#N/A</v>
      </c>
      <c r="Z75" s="259" t="e">
        <f t="shared" si="45"/>
        <v>#N/A</v>
      </c>
    </row>
    <row r="76" spans="1:26" ht="12.75" outlineLevel="1">
      <c r="A76" s="297"/>
      <c r="B76" s="250">
        <v>69</v>
      </c>
      <c r="C76" s="315">
        <f>IF(OR($A76=0,$A76=" "),0,VLOOKUP($A76,eszamfak!$A$5:$M$99,3))</f>
        <v>0</v>
      </c>
      <c r="D76" s="251"/>
      <c r="E76" s="252" t="e">
        <f t="shared" si="39"/>
        <v>#N/A</v>
      </c>
      <c r="F76" s="253" t="e">
        <f t="shared" si="40"/>
        <v>#N/A</v>
      </c>
      <c r="G76" s="254" t="e">
        <f t="shared" si="41"/>
        <v>#N/A</v>
      </c>
      <c r="H76" s="255" t="e">
        <f t="shared" si="42"/>
        <v>#N/A</v>
      </c>
      <c r="I76" s="264"/>
      <c r="J76" s="265"/>
      <c r="K76" s="265"/>
      <c r="L76" s="265"/>
      <c r="M76" s="265"/>
      <c r="N76" s="265"/>
      <c r="O76" s="291"/>
      <c r="P76" s="290">
        <f t="shared" si="46"/>
        <v>0</v>
      </c>
      <c r="Q76" s="256" t="e">
        <f t="shared" si="36"/>
        <v>#N/A</v>
      </c>
      <c r="R76" s="251"/>
      <c r="S76" s="257">
        <f t="shared" si="47"/>
        <v>0</v>
      </c>
      <c r="T76" s="256" t="e">
        <f t="shared" si="37"/>
        <v>#N/A</v>
      </c>
      <c r="V76" s="259" t="e">
        <f t="shared" si="48"/>
        <v>#N/A</v>
      </c>
      <c r="W76" s="259" t="e">
        <f t="shared" si="43"/>
        <v>#N/A</v>
      </c>
      <c r="X76" s="259" t="e">
        <f ca="1" t="shared" si="44"/>
        <v>#N/A</v>
      </c>
      <c r="Y76" s="259" t="e">
        <f t="shared" si="49"/>
        <v>#N/A</v>
      </c>
      <c r="Z76" s="259" t="e">
        <f t="shared" si="45"/>
        <v>#N/A</v>
      </c>
    </row>
    <row r="77" spans="1:26" ht="12.75" outlineLevel="1">
      <c r="A77" s="297"/>
      <c r="B77" s="250">
        <v>70</v>
      </c>
      <c r="C77" s="315">
        <f>IF(OR($A77=0,$A77=" "),0,VLOOKUP($A77,eszamfak!$A$5:$M$99,3))</f>
        <v>0</v>
      </c>
      <c r="D77" s="251"/>
      <c r="E77" s="252" t="e">
        <f t="shared" si="39"/>
        <v>#N/A</v>
      </c>
      <c r="F77" s="253" t="e">
        <f t="shared" si="40"/>
        <v>#N/A</v>
      </c>
      <c r="G77" s="254" t="e">
        <f t="shared" si="41"/>
        <v>#N/A</v>
      </c>
      <c r="H77" s="255" t="e">
        <f t="shared" si="42"/>
        <v>#N/A</v>
      </c>
      <c r="I77" s="264"/>
      <c r="J77" s="265"/>
      <c r="K77" s="265"/>
      <c r="L77" s="265"/>
      <c r="M77" s="265"/>
      <c r="N77" s="265"/>
      <c r="O77" s="291"/>
      <c r="P77" s="290">
        <f t="shared" si="46"/>
        <v>0</v>
      </c>
      <c r="Q77" s="256" t="e">
        <f t="shared" si="36"/>
        <v>#N/A</v>
      </c>
      <c r="R77" s="251"/>
      <c r="S77" s="257">
        <f t="shared" si="47"/>
        <v>0</v>
      </c>
      <c r="T77" s="256" t="e">
        <f t="shared" si="37"/>
        <v>#N/A</v>
      </c>
      <c r="V77" s="259" t="e">
        <f t="shared" si="48"/>
        <v>#N/A</v>
      </c>
      <c r="W77" s="259" t="e">
        <f t="shared" si="43"/>
        <v>#N/A</v>
      </c>
      <c r="X77" s="259" t="e">
        <f ca="1" t="shared" si="44"/>
        <v>#N/A</v>
      </c>
      <c r="Y77" s="259" t="e">
        <f t="shared" si="49"/>
        <v>#N/A</v>
      </c>
      <c r="Z77" s="259" t="e">
        <f t="shared" si="45"/>
        <v>#N/A</v>
      </c>
    </row>
    <row r="78" spans="1:26" ht="12.75" outlineLevel="1">
      <c r="A78" s="297"/>
      <c r="B78" s="250">
        <v>71</v>
      </c>
      <c r="C78" s="315">
        <f>IF(OR($A78=0,$A78=" "),0,VLOOKUP($A78,eszamfak!$A$5:$M$99,3))</f>
        <v>0</v>
      </c>
      <c r="D78" s="251"/>
      <c r="E78" s="252" t="e">
        <f t="shared" si="39"/>
        <v>#N/A</v>
      </c>
      <c r="F78" s="253" t="e">
        <f t="shared" si="40"/>
        <v>#N/A</v>
      </c>
      <c r="G78" s="254" t="e">
        <f t="shared" si="41"/>
        <v>#N/A</v>
      </c>
      <c r="H78" s="255" t="e">
        <f t="shared" si="42"/>
        <v>#N/A</v>
      </c>
      <c r="I78" s="264"/>
      <c r="J78" s="265"/>
      <c r="K78" s="265"/>
      <c r="L78" s="265"/>
      <c r="M78" s="265"/>
      <c r="N78" s="265"/>
      <c r="O78" s="291"/>
      <c r="P78" s="290">
        <f t="shared" si="46"/>
        <v>0</v>
      </c>
      <c r="Q78" s="256" t="e">
        <f t="shared" si="36"/>
        <v>#N/A</v>
      </c>
      <c r="R78" s="251"/>
      <c r="S78" s="257">
        <f t="shared" si="47"/>
        <v>0</v>
      </c>
      <c r="T78" s="256" t="e">
        <f t="shared" si="37"/>
        <v>#N/A</v>
      </c>
      <c r="V78" s="259" t="e">
        <f t="shared" si="48"/>
        <v>#N/A</v>
      </c>
      <c r="W78" s="259" t="e">
        <f t="shared" si="43"/>
        <v>#N/A</v>
      </c>
      <c r="X78" s="259" t="e">
        <f ca="1" t="shared" si="44"/>
        <v>#N/A</v>
      </c>
      <c r="Y78" s="259" t="e">
        <f t="shared" si="49"/>
        <v>#N/A</v>
      </c>
      <c r="Z78" s="259" t="e">
        <f t="shared" si="45"/>
        <v>#N/A</v>
      </c>
    </row>
    <row r="79" spans="1:26" ht="12.75" outlineLevel="1">
      <c r="A79" s="297"/>
      <c r="B79" s="250">
        <v>72</v>
      </c>
      <c r="C79" s="315">
        <f>IF(OR($A79=0,$A79=" "),0,VLOOKUP($A79,eszamfak!$A$5:$M$99,3))</f>
        <v>0</v>
      </c>
      <c r="D79" s="251"/>
      <c r="E79" s="252" t="e">
        <f t="shared" si="39"/>
        <v>#N/A</v>
      </c>
      <c r="F79" s="253" t="e">
        <f t="shared" si="40"/>
        <v>#N/A</v>
      </c>
      <c r="G79" s="254" t="e">
        <f t="shared" si="41"/>
        <v>#N/A</v>
      </c>
      <c r="H79" s="255" t="e">
        <f t="shared" si="42"/>
        <v>#N/A</v>
      </c>
      <c r="I79" s="264"/>
      <c r="J79" s="265"/>
      <c r="K79" s="265"/>
      <c r="L79" s="265"/>
      <c r="M79" s="265"/>
      <c r="N79" s="265"/>
      <c r="O79" s="291"/>
      <c r="P79" s="290">
        <f t="shared" si="46"/>
        <v>0</v>
      </c>
      <c r="Q79" s="256" t="e">
        <f t="shared" si="36"/>
        <v>#N/A</v>
      </c>
      <c r="R79" s="251"/>
      <c r="S79" s="257">
        <f t="shared" si="47"/>
        <v>0</v>
      </c>
      <c r="T79" s="256" t="e">
        <f t="shared" si="37"/>
        <v>#N/A</v>
      </c>
      <c r="V79" s="259" t="e">
        <f t="shared" si="48"/>
        <v>#N/A</v>
      </c>
      <c r="W79" s="259" t="e">
        <f t="shared" si="43"/>
        <v>#N/A</v>
      </c>
      <c r="X79" s="259" t="e">
        <f ca="1" t="shared" si="44"/>
        <v>#N/A</v>
      </c>
      <c r="Y79" s="259" t="e">
        <f t="shared" si="49"/>
        <v>#N/A</v>
      </c>
      <c r="Z79" s="259" t="e">
        <f t="shared" si="45"/>
        <v>#N/A</v>
      </c>
    </row>
    <row r="80" spans="1:26" ht="12.75" outlineLevel="1">
      <c r="A80" s="297"/>
      <c r="B80" s="250">
        <v>73</v>
      </c>
      <c r="C80" s="315">
        <f>IF(OR($A80=0,$A80=" "),0,VLOOKUP($A80,eszamfak!$A$5:$M$99,3))</f>
        <v>0</v>
      </c>
      <c r="D80" s="251"/>
      <c r="E80" s="252" t="e">
        <f t="shared" si="39"/>
        <v>#N/A</v>
      </c>
      <c r="F80" s="253" t="e">
        <f t="shared" si="40"/>
        <v>#N/A</v>
      </c>
      <c r="G80" s="254" t="e">
        <f t="shared" si="41"/>
        <v>#N/A</v>
      </c>
      <c r="H80" s="255" t="e">
        <f t="shared" si="42"/>
        <v>#N/A</v>
      </c>
      <c r="I80" s="264"/>
      <c r="J80" s="265"/>
      <c r="K80" s="265"/>
      <c r="L80" s="265"/>
      <c r="M80" s="265"/>
      <c r="N80" s="265"/>
      <c r="O80" s="291"/>
      <c r="P80" s="290">
        <f t="shared" si="46"/>
        <v>0</v>
      </c>
      <c r="Q80" s="256" t="e">
        <f t="shared" si="36"/>
        <v>#N/A</v>
      </c>
      <c r="R80" s="251"/>
      <c r="S80" s="257">
        <f t="shared" si="47"/>
        <v>0</v>
      </c>
      <c r="T80" s="256" t="e">
        <f t="shared" si="37"/>
        <v>#N/A</v>
      </c>
      <c r="V80" s="259" t="e">
        <f t="shared" si="48"/>
        <v>#N/A</v>
      </c>
      <c r="W80" s="259" t="e">
        <f t="shared" si="43"/>
        <v>#N/A</v>
      </c>
      <c r="X80" s="259" t="e">
        <f ca="1" t="shared" si="44"/>
        <v>#N/A</v>
      </c>
      <c r="Y80" s="259" t="e">
        <f t="shared" si="49"/>
        <v>#N/A</v>
      </c>
      <c r="Z80" s="259" t="e">
        <f t="shared" si="45"/>
        <v>#N/A</v>
      </c>
    </row>
    <row r="81" spans="1:26" ht="12.75" outlineLevel="1">
      <c r="A81" s="297"/>
      <c r="B81" s="250">
        <v>74</v>
      </c>
      <c r="C81" s="315">
        <f>IF(OR($A81=0,$A81=" "),0,VLOOKUP($A81,eszamfak!$A$5:$M$99,3))</f>
        <v>0</v>
      </c>
      <c r="D81" s="251"/>
      <c r="E81" s="252" t="e">
        <f t="shared" si="39"/>
        <v>#N/A</v>
      </c>
      <c r="F81" s="253" t="e">
        <f t="shared" si="40"/>
        <v>#N/A</v>
      </c>
      <c r="G81" s="254" t="e">
        <f t="shared" si="41"/>
        <v>#N/A</v>
      </c>
      <c r="H81" s="255" t="e">
        <f t="shared" si="42"/>
        <v>#N/A</v>
      </c>
      <c r="I81" s="264"/>
      <c r="J81" s="265"/>
      <c r="K81" s="265"/>
      <c r="L81" s="265"/>
      <c r="M81" s="265"/>
      <c r="N81" s="265"/>
      <c r="O81" s="291"/>
      <c r="P81" s="290">
        <f t="shared" si="46"/>
        <v>0</v>
      </c>
      <c r="Q81" s="256" t="e">
        <f t="shared" si="36"/>
        <v>#N/A</v>
      </c>
      <c r="R81" s="251"/>
      <c r="S81" s="257">
        <f t="shared" si="47"/>
        <v>0</v>
      </c>
      <c r="T81" s="256" t="e">
        <f t="shared" si="37"/>
        <v>#N/A</v>
      </c>
      <c r="V81" s="259" t="e">
        <f t="shared" si="48"/>
        <v>#N/A</v>
      </c>
      <c r="W81" s="259" t="e">
        <f t="shared" si="43"/>
        <v>#N/A</v>
      </c>
      <c r="X81" s="259" t="e">
        <f ca="1" t="shared" si="44"/>
        <v>#N/A</v>
      </c>
      <c r="Y81" s="259" t="e">
        <f t="shared" si="49"/>
        <v>#N/A</v>
      </c>
      <c r="Z81" s="259" t="e">
        <f t="shared" si="45"/>
        <v>#N/A</v>
      </c>
    </row>
    <row r="82" spans="1:26" ht="12.75" outlineLevel="1">
      <c r="A82" s="297"/>
      <c r="B82" s="250">
        <v>75</v>
      </c>
      <c r="C82" s="315">
        <f>IF(OR($A82=0,$A82=" "),0,VLOOKUP($A82,eszamfak!$A$5:$M$99,3))</f>
        <v>0</v>
      </c>
      <c r="D82" s="251"/>
      <c r="E82" s="252" t="e">
        <f t="shared" si="39"/>
        <v>#N/A</v>
      </c>
      <c r="F82" s="253" t="e">
        <f t="shared" si="40"/>
        <v>#N/A</v>
      </c>
      <c r="G82" s="254" t="e">
        <f t="shared" si="41"/>
        <v>#N/A</v>
      </c>
      <c r="H82" s="255" t="e">
        <f t="shared" si="42"/>
        <v>#N/A</v>
      </c>
      <c r="I82" s="264"/>
      <c r="J82" s="265"/>
      <c r="K82" s="265"/>
      <c r="L82" s="265"/>
      <c r="M82" s="265"/>
      <c r="N82" s="265"/>
      <c r="O82" s="291"/>
      <c r="P82" s="290">
        <f t="shared" si="46"/>
        <v>0</v>
      </c>
      <c r="Q82" s="256" t="e">
        <f t="shared" si="36"/>
        <v>#N/A</v>
      </c>
      <c r="R82" s="251"/>
      <c r="S82" s="257">
        <f t="shared" si="47"/>
        <v>0</v>
      </c>
      <c r="T82" s="256" t="e">
        <f t="shared" si="37"/>
        <v>#N/A</v>
      </c>
      <c r="V82" s="259" t="e">
        <f t="shared" si="48"/>
        <v>#N/A</v>
      </c>
      <c r="W82" s="259" t="e">
        <f t="shared" si="43"/>
        <v>#N/A</v>
      </c>
      <c r="X82" s="259" t="e">
        <f ca="1" t="shared" si="44"/>
        <v>#N/A</v>
      </c>
      <c r="Y82" s="259" t="e">
        <f t="shared" si="49"/>
        <v>#N/A</v>
      </c>
      <c r="Z82" s="259" t="e">
        <f t="shared" si="45"/>
        <v>#N/A</v>
      </c>
    </row>
    <row r="83" spans="1:26" ht="12.75" outlineLevel="1">
      <c r="A83" s="297"/>
      <c r="B83" s="250">
        <v>76</v>
      </c>
      <c r="C83" s="315">
        <f>IF(OR($A83=0,$A83=" "),0,VLOOKUP($A83,eszamfak!$A$5:$M$99,3))</f>
        <v>0</v>
      </c>
      <c r="D83" s="251"/>
      <c r="E83" s="252" t="e">
        <f t="shared" si="39"/>
        <v>#N/A</v>
      </c>
      <c r="F83" s="253" t="e">
        <f t="shared" si="40"/>
        <v>#N/A</v>
      </c>
      <c r="G83" s="254" t="e">
        <f t="shared" si="41"/>
        <v>#N/A</v>
      </c>
      <c r="H83" s="255" t="e">
        <f t="shared" si="42"/>
        <v>#N/A</v>
      </c>
      <c r="I83" s="264"/>
      <c r="J83" s="265"/>
      <c r="K83" s="265"/>
      <c r="L83" s="265"/>
      <c r="M83" s="265"/>
      <c r="N83" s="265"/>
      <c r="O83" s="291"/>
      <c r="P83" s="290">
        <f t="shared" si="46"/>
        <v>0</v>
      </c>
      <c r="Q83" s="256" t="e">
        <f t="shared" si="36"/>
        <v>#N/A</v>
      </c>
      <c r="R83" s="251"/>
      <c r="S83" s="257">
        <f t="shared" si="47"/>
        <v>0</v>
      </c>
      <c r="T83" s="256" t="e">
        <f t="shared" si="37"/>
        <v>#N/A</v>
      </c>
      <c r="V83" s="259" t="e">
        <f t="shared" si="48"/>
        <v>#N/A</v>
      </c>
      <c r="W83" s="259" t="e">
        <f t="shared" si="43"/>
        <v>#N/A</v>
      </c>
      <c r="X83" s="259" t="e">
        <f ca="1" t="shared" si="44"/>
        <v>#N/A</v>
      </c>
      <c r="Y83" s="259" t="e">
        <f t="shared" si="49"/>
        <v>#N/A</v>
      </c>
      <c r="Z83" s="259" t="e">
        <f t="shared" si="45"/>
        <v>#N/A</v>
      </c>
    </row>
    <row r="84" spans="1:26" ht="12.75" outlineLevel="1">
      <c r="A84" s="297"/>
      <c r="B84" s="250">
        <v>77</v>
      </c>
      <c r="C84" s="315">
        <f>IF(OR($A84=0,$A84=" "),0,VLOOKUP($A84,eszamfak!$A$5:$M$99,3))</f>
        <v>0</v>
      </c>
      <c r="D84" s="251"/>
      <c r="E84" s="252" t="e">
        <f t="shared" si="39"/>
        <v>#N/A</v>
      </c>
      <c r="F84" s="253" t="e">
        <f t="shared" si="40"/>
        <v>#N/A</v>
      </c>
      <c r="G84" s="254" t="e">
        <f t="shared" si="41"/>
        <v>#N/A</v>
      </c>
      <c r="H84" s="255" t="e">
        <f t="shared" si="42"/>
        <v>#N/A</v>
      </c>
      <c r="I84" s="264"/>
      <c r="J84" s="265"/>
      <c r="K84" s="265"/>
      <c r="L84" s="265"/>
      <c r="M84" s="265"/>
      <c r="N84" s="265"/>
      <c r="O84" s="291"/>
      <c r="P84" s="290">
        <f t="shared" si="46"/>
        <v>0</v>
      </c>
      <c r="Q84" s="256" t="e">
        <f t="shared" si="36"/>
        <v>#N/A</v>
      </c>
      <c r="R84" s="251"/>
      <c r="S84" s="257">
        <f t="shared" si="47"/>
        <v>0</v>
      </c>
      <c r="T84" s="256" t="e">
        <f t="shared" si="37"/>
        <v>#N/A</v>
      </c>
      <c r="V84" s="259" t="e">
        <f t="shared" si="48"/>
        <v>#N/A</v>
      </c>
      <c r="W84" s="259" t="e">
        <f t="shared" si="43"/>
        <v>#N/A</v>
      </c>
      <c r="X84" s="259" t="e">
        <f ca="1" t="shared" si="44"/>
        <v>#N/A</v>
      </c>
      <c r="Y84" s="259" t="e">
        <f t="shared" si="49"/>
        <v>#N/A</v>
      </c>
      <c r="Z84" s="259" t="e">
        <f t="shared" si="45"/>
        <v>#N/A</v>
      </c>
    </row>
    <row r="85" spans="1:26" ht="12.75" outlineLevel="1">
      <c r="A85" s="297"/>
      <c r="B85" s="250">
        <v>78</v>
      </c>
      <c r="C85" s="315">
        <f>IF(OR($A85=0,$A85=" "),0,VLOOKUP($A85,eszamfak!$A$5:$M$99,3))</f>
        <v>0</v>
      </c>
      <c r="D85" s="251"/>
      <c r="E85" s="252" t="e">
        <f t="shared" si="39"/>
        <v>#N/A</v>
      </c>
      <c r="F85" s="253" t="e">
        <f t="shared" si="40"/>
        <v>#N/A</v>
      </c>
      <c r="G85" s="254" t="e">
        <f t="shared" si="41"/>
        <v>#N/A</v>
      </c>
      <c r="H85" s="255" t="e">
        <f t="shared" si="42"/>
        <v>#N/A</v>
      </c>
      <c r="I85" s="264"/>
      <c r="J85" s="265"/>
      <c r="K85" s="265"/>
      <c r="L85" s="265"/>
      <c r="M85" s="265"/>
      <c r="N85" s="265"/>
      <c r="O85" s="291"/>
      <c r="P85" s="290">
        <f t="shared" si="46"/>
        <v>0</v>
      </c>
      <c r="Q85" s="256" t="e">
        <f t="shared" si="36"/>
        <v>#N/A</v>
      </c>
      <c r="R85" s="251"/>
      <c r="S85" s="257">
        <f t="shared" si="47"/>
        <v>0</v>
      </c>
      <c r="T85" s="256" t="e">
        <f t="shared" si="37"/>
        <v>#N/A</v>
      </c>
      <c r="V85" s="259" t="e">
        <f t="shared" si="48"/>
        <v>#N/A</v>
      </c>
      <c r="W85" s="259" t="e">
        <f t="shared" si="43"/>
        <v>#N/A</v>
      </c>
      <c r="X85" s="259" t="e">
        <f ca="1" t="shared" si="44"/>
        <v>#N/A</v>
      </c>
      <c r="Y85" s="259" t="e">
        <f t="shared" si="49"/>
        <v>#N/A</v>
      </c>
      <c r="Z85" s="259" t="e">
        <f t="shared" si="45"/>
        <v>#N/A</v>
      </c>
    </row>
    <row r="86" spans="1:26" ht="12.75" outlineLevel="1">
      <c r="A86" s="297"/>
      <c r="B86" s="250">
        <v>79</v>
      </c>
      <c r="C86" s="315">
        <f>IF(OR($A86=0,$A86=" "),0,VLOOKUP($A86,eszamfak!$A$5:$M$99,3))</f>
        <v>0</v>
      </c>
      <c r="D86" s="251"/>
      <c r="E86" s="252" t="e">
        <f t="shared" si="39"/>
        <v>#N/A</v>
      </c>
      <c r="F86" s="253" t="e">
        <f t="shared" si="40"/>
        <v>#N/A</v>
      </c>
      <c r="G86" s="254" t="e">
        <f t="shared" si="41"/>
        <v>#N/A</v>
      </c>
      <c r="H86" s="255" t="e">
        <f t="shared" si="42"/>
        <v>#N/A</v>
      </c>
      <c r="I86" s="264"/>
      <c r="J86" s="265"/>
      <c r="K86" s="265"/>
      <c r="L86" s="265"/>
      <c r="M86" s="265"/>
      <c r="N86" s="265"/>
      <c r="O86" s="291"/>
      <c r="P86" s="290">
        <f t="shared" si="46"/>
        <v>0</v>
      </c>
      <c r="Q86" s="256" t="e">
        <f t="shared" si="36"/>
        <v>#N/A</v>
      </c>
      <c r="R86" s="251"/>
      <c r="S86" s="257">
        <f t="shared" si="47"/>
        <v>0</v>
      </c>
      <c r="T86" s="256" t="e">
        <f t="shared" si="37"/>
        <v>#N/A</v>
      </c>
      <c r="V86" s="259" t="e">
        <f t="shared" si="48"/>
        <v>#N/A</v>
      </c>
      <c r="W86" s="259" t="e">
        <f t="shared" si="43"/>
        <v>#N/A</v>
      </c>
      <c r="X86" s="259" t="e">
        <f ca="1" t="shared" si="44"/>
        <v>#N/A</v>
      </c>
      <c r="Y86" s="259" t="e">
        <f t="shared" si="49"/>
        <v>#N/A</v>
      </c>
      <c r="Z86" s="259" t="e">
        <f t="shared" si="45"/>
        <v>#N/A</v>
      </c>
    </row>
    <row r="87" spans="1:26" ht="12.75" outlineLevel="1">
      <c r="A87" s="297"/>
      <c r="B87" s="250">
        <v>80</v>
      </c>
      <c r="C87" s="315">
        <f>IF(OR($A87=0,$A87=" "),0,VLOOKUP($A87,eszamfak!$A$5:$M$99,3))</f>
        <v>0</v>
      </c>
      <c r="D87" s="251"/>
      <c r="E87" s="252" t="e">
        <f t="shared" si="39"/>
        <v>#N/A</v>
      </c>
      <c r="F87" s="253" t="e">
        <f t="shared" si="40"/>
        <v>#N/A</v>
      </c>
      <c r="G87" s="254" t="e">
        <f t="shared" si="41"/>
        <v>#N/A</v>
      </c>
      <c r="H87" s="255" t="e">
        <f t="shared" si="42"/>
        <v>#N/A</v>
      </c>
      <c r="I87" s="264"/>
      <c r="J87" s="265"/>
      <c r="K87" s="265"/>
      <c r="L87" s="265"/>
      <c r="M87" s="265"/>
      <c r="N87" s="265"/>
      <c r="O87" s="291"/>
      <c r="P87" s="290">
        <f t="shared" si="46"/>
        <v>0</v>
      </c>
      <c r="Q87" s="256" t="e">
        <f t="shared" si="36"/>
        <v>#N/A</v>
      </c>
      <c r="R87" s="251"/>
      <c r="S87" s="257">
        <f t="shared" si="47"/>
        <v>0</v>
      </c>
      <c r="T87" s="256" t="e">
        <f t="shared" si="37"/>
        <v>#N/A</v>
      </c>
      <c r="V87" s="259" t="e">
        <f t="shared" si="48"/>
        <v>#N/A</v>
      </c>
      <c r="W87" s="259" t="e">
        <f t="shared" si="43"/>
        <v>#N/A</v>
      </c>
      <c r="X87" s="259" t="e">
        <f ca="1" t="shared" si="44"/>
        <v>#N/A</v>
      </c>
      <c r="Y87" s="259" t="e">
        <f t="shared" si="49"/>
        <v>#N/A</v>
      </c>
      <c r="Z87" s="259" t="e">
        <f t="shared" si="45"/>
        <v>#N/A</v>
      </c>
    </row>
    <row r="88" spans="1:26" ht="12.75" outlineLevel="1">
      <c r="A88" s="297"/>
      <c r="B88" s="250">
        <v>81</v>
      </c>
      <c r="C88" s="315">
        <f>IF(OR($A88=0,$A88=" "),0,VLOOKUP($A88,eszamfak!$A$5:$M$99,3))</f>
        <v>0</v>
      </c>
      <c r="D88" s="251"/>
      <c r="E88" s="252" t="e">
        <f t="shared" si="39"/>
        <v>#N/A</v>
      </c>
      <c r="F88" s="253" t="e">
        <f t="shared" si="40"/>
        <v>#N/A</v>
      </c>
      <c r="G88" s="254" t="e">
        <f t="shared" si="41"/>
        <v>#N/A</v>
      </c>
      <c r="H88" s="255" t="e">
        <f t="shared" si="42"/>
        <v>#N/A</v>
      </c>
      <c r="I88" s="264"/>
      <c r="J88" s="265"/>
      <c r="K88" s="265"/>
      <c r="L88" s="265"/>
      <c r="M88" s="265"/>
      <c r="N88" s="265"/>
      <c r="O88" s="291"/>
      <c r="P88" s="290">
        <f t="shared" si="46"/>
        <v>0</v>
      </c>
      <c r="Q88" s="256" t="e">
        <f t="shared" si="36"/>
        <v>#N/A</v>
      </c>
      <c r="R88" s="251"/>
      <c r="S88" s="257">
        <f t="shared" si="47"/>
        <v>0</v>
      </c>
      <c r="T88" s="256" t="e">
        <f t="shared" si="37"/>
        <v>#N/A</v>
      </c>
      <c r="V88" s="259" t="e">
        <f t="shared" si="48"/>
        <v>#N/A</v>
      </c>
      <c r="W88" s="259" t="e">
        <f t="shared" si="43"/>
        <v>#N/A</v>
      </c>
      <c r="X88" s="259" t="e">
        <f ca="1" t="shared" si="44"/>
        <v>#N/A</v>
      </c>
      <c r="Y88" s="259" t="e">
        <f t="shared" si="49"/>
        <v>#N/A</v>
      </c>
      <c r="Z88" s="259" t="e">
        <f t="shared" si="45"/>
        <v>#N/A</v>
      </c>
    </row>
    <row r="89" spans="1:26" ht="12.75" outlineLevel="1">
      <c r="A89" s="297"/>
      <c r="B89" s="250">
        <v>82</v>
      </c>
      <c r="C89" s="315">
        <f>IF(OR($A89=0,$A89=" "),0,VLOOKUP($A89,eszamfak!$A$5:$M$99,3))</f>
        <v>0</v>
      </c>
      <c r="D89" s="251"/>
      <c r="E89" s="252" t="e">
        <f t="shared" si="39"/>
        <v>#N/A</v>
      </c>
      <c r="F89" s="253" t="e">
        <f t="shared" si="40"/>
        <v>#N/A</v>
      </c>
      <c r="G89" s="254" t="e">
        <f t="shared" si="41"/>
        <v>#N/A</v>
      </c>
      <c r="H89" s="255" t="e">
        <f t="shared" si="42"/>
        <v>#N/A</v>
      </c>
      <c r="I89" s="264"/>
      <c r="J89" s="265"/>
      <c r="K89" s="265"/>
      <c r="L89" s="265"/>
      <c r="M89" s="265"/>
      <c r="N89" s="265"/>
      <c r="O89" s="291"/>
      <c r="P89" s="290">
        <f t="shared" si="46"/>
        <v>0</v>
      </c>
      <c r="Q89" s="256" t="e">
        <f t="shared" si="36"/>
        <v>#N/A</v>
      </c>
      <c r="R89" s="251"/>
      <c r="S89" s="257">
        <f t="shared" si="47"/>
        <v>0</v>
      </c>
      <c r="T89" s="256" t="e">
        <f t="shared" si="37"/>
        <v>#N/A</v>
      </c>
      <c r="V89" s="259" t="e">
        <f t="shared" si="48"/>
        <v>#N/A</v>
      </c>
      <c r="W89" s="259" t="e">
        <f t="shared" si="43"/>
        <v>#N/A</v>
      </c>
      <c r="X89" s="259" t="e">
        <f ca="1" t="shared" si="44"/>
        <v>#N/A</v>
      </c>
      <c r="Y89" s="259" t="e">
        <f t="shared" si="49"/>
        <v>#N/A</v>
      </c>
      <c r="Z89" s="259" t="e">
        <f t="shared" si="45"/>
        <v>#N/A</v>
      </c>
    </row>
    <row r="90" spans="1:26" ht="12.75" outlineLevel="1">
      <c r="A90" s="297"/>
      <c r="B90" s="250">
        <v>83</v>
      </c>
      <c r="C90" s="315">
        <f>IF(OR($A90=0,$A90=" "),0,VLOOKUP($A90,eszamfak!$A$5:$M$99,3))</f>
        <v>0</v>
      </c>
      <c r="D90" s="251"/>
      <c r="E90" s="252" t="e">
        <f t="shared" si="39"/>
        <v>#N/A</v>
      </c>
      <c r="F90" s="253" t="e">
        <f t="shared" si="40"/>
        <v>#N/A</v>
      </c>
      <c r="G90" s="254" t="e">
        <f t="shared" si="41"/>
        <v>#N/A</v>
      </c>
      <c r="H90" s="255" t="e">
        <f t="shared" si="42"/>
        <v>#N/A</v>
      </c>
      <c r="I90" s="264"/>
      <c r="J90" s="265"/>
      <c r="K90" s="265"/>
      <c r="L90" s="265"/>
      <c r="M90" s="265"/>
      <c r="N90" s="265"/>
      <c r="O90" s="291"/>
      <c r="P90" s="290">
        <f t="shared" si="46"/>
        <v>0</v>
      </c>
      <c r="Q90" s="256" t="e">
        <f t="shared" si="36"/>
        <v>#N/A</v>
      </c>
      <c r="R90" s="251"/>
      <c r="S90" s="257">
        <f t="shared" si="47"/>
        <v>0</v>
      </c>
      <c r="T90" s="256" t="e">
        <f t="shared" si="37"/>
        <v>#N/A</v>
      </c>
      <c r="V90" s="259" t="e">
        <f t="shared" si="48"/>
        <v>#N/A</v>
      </c>
      <c r="W90" s="259" t="e">
        <f t="shared" si="43"/>
        <v>#N/A</v>
      </c>
      <c r="X90" s="259" t="e">
        <f ca="1" t="shared" si="44"/>
        <v>#N/A</v>
      </c>
      <c r="Y90" s="259" t="e">
        <f t="shared" si="49"/>
        <v>#N/A</v>
      </c>
      <c r="Z90" s="259" t="e">
        <f t="shared" si="45"/>
        <v>#N/A</v>
      </c>
    </row>
    <row r="91" spans="1:26" ht="12.75" outlineLevel="1">
      <c r="A91" s="297"/>
      <c r="B91" s="250">
        <v>84</v>
      </c>
      <c r="C91" s="315">
        <f>IF(OR($A91=0,$A91=" "),0,VLOOKUP($A91,eszamfak!$A$5:$M$99,3))</f>
        <v>0</v>
      </c>
      <c r="D91" s="251"/>
      <c r="E91" s="252" t="e">
        <f t="shared" si="39"/>
        <v>#N/A</v>
      </c>
      <c r="F91" s="253" t="e">
        <f t="shared" si="40"/>
        <v>#N/A</v>
      </c>
      <c r="G91" s="254" t="e">
        <f t="shared" si="41"/>
        <v>#N/A</v>
      </c>
      <c r="H91" s="255" t="e">
        <f t="shared" si="42"/>
        <v>#N/A</v>
      </c>
      <c r="I91" s="264"/>
      <c r="J91" s="265"/>
      <c r="K91" s="265"/>
      <c r="L91" s="265"/>
      <c r="M91" s="265"/>
      <c r="N91" s="265"/>
      <c r="O91" s="291"/>
      <c r="P91" s="290">
        <f t="shared" si="46"/>
        <v>0</v>
      </c>
      <c r="Q91" s="256" t="e">
        <f t="shared" si="36"/>
        <v>#N/A</v>
      </c>
      <c r="R91" s="251"/>
      <c r="S91" s="257">
        <f t="shared" si="47"/>
        <v>0</v>
      </c>
      <c r="T91" s="256" t="e">
        <f t="shared" si="37"/>
        <v>#N/A</v>
      </c>
      <c r="V91" s="259" t="e">
        <f t="shared" si="48"/>
        <v>#N/A</v>
      </c>
      <c r="W91" s="259" t="e">
        <f t="shared" si="43"/>
        <v>#N/A</v>
      </c>
      <c r="X91" s="259" t="e">
        <f ca="1" t="shared" si="44"/>
        <v>#N/A</v>
      </c>
      <c r="Y91" s="259" t="e">
        <f t="shared" si="49"/>
        <v>#N/A</v>
      </c>
      <c r="Z91" s="259" t="e">
        <f t="shared" si="45"/>
        <v>#N/A</v>
      </c>
    </row>
    <row r="92" spans="1:26" ht="12.75" outlineLevel="1">
      <c r="A92" s="297"/>
      <c r="B92" s="250">
        <v>85</v>
      </c>
      <c r="C92" s="315">
        <f>IF(OR($A92=0,$A92=" "),0,VLOOKUP($A92,eszamfak!$A$5:$M$99,3))</f>
        <v>0</v>
      </c>
      <c r="D92" s="251"/>
      <c r="E92" s="252" t="e">
        <f t="shared" si="39"/>
        <v>#N/A</v>
      </c>
      <c r="F92" s="253" t="e">
        <f t="shared" si="40"/>
        <v>#N/A</v>
      </c>
      <c r="G92" s="254" t="e">
        <f t="shared" si="41"/>
        <v>#N/A</v>
      </c>
      <c r="H92" s="255" t="e">
        <f t="shared" si="42"/>
        <v>#N/A</v>
      </c>
      <c r="I92" s="264"/>
      <c r="J92" s="265"/>
      <c r="K92" s="265"/>
      <c r="L92" s="265"/>
      <c r="M92" s="265"/>
      <c r="N92" s="265"/>
      <c r="O92" s="291"/>
      <c r="P92" s="290">
        <f t="shared" si="46"/>
        <v>0</v>
      </c>
      <c r="Q92" s="256" t="e">
        <f t="shared" si="36"/>
        <v>#N/A</v>
      </c>
      <c r="R92" s="251"/>
      <c r="S92" s="257">
        <f t="shared" si="47"/>
        <v>0</v>
      </c>
      <c r="T92" s="256" t="e">
        <f t="shared" si="37"/>
        <v>#N/A</v>
      </c>
      <c r="V92" s="259" t="e">
        <f t="shared" si="48"/>
        <v>#N/A</v>
      </c>
      <c r="W92" s="259" t="e">
        <f t="shared" si="43"/>
        <v>#N/A</v>
      </c>
      <c r="X92" s="259" t="e">
        <f ca="1" t="shared" si="44"/>
        <v>#N/A</v>
      </c>
      <c r="Y92" s="259" t="e">
        <f t="shared" si="49"/>
        <v>#N/A</v>
      </c>
      <c r="Z92" s="259" t="e">
        <f t="shared" si="45"/>
        <v>#N/A</v>
      </c>
    </row>
    <row r="93" spans="1:26" ht="12.75" outlineLevel="1">
      <c r="A93" s="297"/>
      <c r="B93" s="250">
        <v>86</v>
      </c>
      <c r="C93" s="315">
        <f>IF(OR($A93=0,$A93=" "),0,VLOOKUP($A93,eszamfak!$A$5:$M$99,3))</f>
        <v>0</v>
      </c>
      <c r="D93" s="251"/>
      <c r="E93" s="252" t="e">
        <f t="shared" si="39"/>
        <v>#N/A</v>
      </c>
      <c r="F93" s="253" t="e">
        <f t="shared" si="40"/>
        <v>#N/A</v>
      </c>
      <c r="G93" s="254" t="e">
        <f t="shared" si="41"/>
        <v>#N/A</v>
      </c>
      <c r="H93" s="255" t="e">
        <f t="shared" si="42"/>
        <v>#N/A</v>
      </c>
      <c r="I93" s="264"/>
      <c r="J93" s="265"/>
      <c r="K93" s="265"/>
      <c r="L93" s="265"/>
      <c r="M93" s="265"/>
      <c r="N93" s="265"/>
      <c r="O93" s="291"/>
      <c r="P93" s="290">
        <f t="shared" si="46"/>
        <v>0</v>
      </c>
      <c r="Q93" s="256" t="e">
        <f t="shared" si="36"/>
        <v>#N/A</v>
      </c>
      <c r="R93" s="251"/>
      <c r="S93" s="257">
        <f t="shared" si="47"/>
        <v>0</v>
      </c>
      <c r="T93" s="256" t="e">
        <f t="shared" si="37"/>
        <v>#N/A</v>
      </c>
      <c r="V93" s="259" t="e">
        <f t="shared" si="48"/>
        <v>#N/A</v>
      </c>
      <c r="W93" s="259" t="e">
        <f t="shared" si="43"/>
        <v>#N/A</v>
      </c>
      <c r="X93" s="259" t="e">
        <f ca="1" t="shared" si="44"/>
        <v>#N/A</v>
      </c>
      <c r="Y93" s="259" t="e">
        <f t="shared" si="49"/>
        <v>#N/A</v>
      </c>
      <c r="Z93" s="259" t="e">
        <f t="shared" si="45"/>
        <v>#N/A</v>
      </c>
    </row>
    <row r="94" spans="1:26" ht="12.75" outlineLevel="1">
      <c r="A94" s="297"/>
      <c r="B94" s="250">
        <v>87</v>
      </c>
      <c r="C94" s="315">
        <f>IF(OR($A94=0,$A94=" "),0,VLOOKUP($A94,eszamfak!$A$5:$M$99,3))</f>
        <v>0</v>
      </c>
      <c r="D94" s="251"/>
      <c r="E94" s="252" t="e">
        <f t="shared" si="39"/>
        <v>#N/A</v>
      </c>
      <c r="F94" s="253" t="e">
        <f t="shared" si="40"/>
        <v>#N/A</v>
      </c>
      <c r="G94" s="254" t="e">
        <f t="shared" si="41"/>
        <v>#N/A</v>
      </c>
      <c r="H94" s="255" t="e">
        <f t="shared" si="42"/>
        <v>#N/A</v>
      </c>
      <c r="I94" s="264"/>
      <c r="J94" s="265"/>
      <c r="K94" s="265"/>
      <c r="L94" s="265"/>
      <c r="M94" s="265"/>
      <c r="N94" s="265"/>
      <c r="O94" s="291"/>
      <c r="P94" s="290">
        <f t="shared" si="46"/>
        <v>0</v>
      </c>
      <c r="Q94" s="256" t="e">
        <f t="shared" si="36"/>
        <v>#N/A</v>
      </c>
      <c r="R94" s="251"/>
      <c r="S94" s="257">
        <f t="shared" si="47"/>
        <v>0</v>
      </c>
      <c r="T94" s="256" t="e">
        <f t="shared" si="37"/>
        <v>#N/A</v>
      </c>
      <c r="V94" s="259" t="e">
        <f t="shared" si="48"/>
        <v>#N/A</v>
      </c>
      <c r="W94" s="259" t="e">
        <f t="shared" si="43"/>
        <v>#N/A</v>
      </c>
      <c r="X94" s="259" t="e">
        <f ca="1" t="shared" si="44"/>
        <v>#N/A</v>
      </c>
      <c r="Y94" s="259" t="e">
        <f t="shared" si="49"/>
        <v>#N/A</v>
      </c>
      <c r="Z94" s="259" t="e">
        <f t="shared" si="45"/>
        <v>#N/A</v>
      </c>
    </row>
    <row r="95" spans="1:26" ht="12.75" outlineLevel="1">
      <c r="A95" s="297"/>
      <c r="B95" s="250">
        <v>88</v>
      </c>
      <c r="C95" s="315">
        <f>IF(OR($A95=0,$A95=" "),0,VLOOKUP($A95,eszamfak!$A$5:$M$99,3))</f>
        <v>0</v>
      </c>
      <c r="D95" s="251"/>
      <c r="E95" s="252" t="e">
        <f t="shared" si="39"/>
        <v>#N/A</v>
      </c>
      <c r="F95" s="253" t="e">
        <f t="shared" si="40"/>
        <v>#N/A</v>
      </c>
      <c r="G95" s="254" t="e">
        <f t="shared" si="41"/>
        <v>#N/A</v>
      </c>
      <c r="H95" s="255" t="e">
        <f t="shared" si="42"/>
        <v>#N/A</v>
      </c>
      <c r="I95" s="264"/>
      <c r="J95" s="265"/>
      <c r="K95" s="265"/>
      <c r="L95" s="265"/>
      <c r="M95" s="265"/>
      <c r="N95" s="265"/>
      <c r="O95" s="291"/>
      <c r="P95" s="290">
        <f t="shared" si="46"/>
        <v>0</v>
      </c>
      <c r="Q95" s="256" t="e">
        <f t="shared" si="36"/>
        <v>#N/A</v>
      </c>
      <c r="R95" s="251"/>
      <c r="S95" s="257">
        <f t="shared" si="47"/>
        <v>0</v>
      </c>
      <c r="T95" s="256" t="e">
        <f t="shared" si="37"/>
        <v>#N/A</v>
      </c>
      <c r="V95" s="259" t="e">
        <f t="shared" si="48"/>
        <v>#N/A</v>
      </c>
      <c r="W95" s="259" t="e">
        <f t="shared" si="43"/>
        <v>#N/A</v>
      </c>
      <c r="X95" s="259" t="e">
        <f ca="1" t="shared" si="44"/>
        <v>#N/A</v>
      </c>
      <c r="Y95" s="259" t="e">
        <f t="shared" si="49"/>
        <v>#N/A</v>
      </c>
      <c r="Z95" s="259" t="e">
        <f t="shared" si="45"/>
        <v>#N/A</v>
      </c>
    </row>
    <row r="96" spans="1:26" ht="12.75" outlineLevel="1">
      <c r="A96" s="297"/>
      <c r="B96" s="250">
        <v>89</v>
      </c>
      <c r="C96" s="315">
        <f>IF(OR($A96=0,$A96=" "),0,VLOOKUP($A96,eszamfak!$A$5:$M$99,3))</f>
        <v>0</v>
      </c>
      <c r="D96" s="251"/>
      <c r="E96" s="252" t="e">
        <f t="shared" si="39"/>
        <v>#N/A</v>
      </c>
      <c r="F96" s="253" t="e">
        <f t="shared" si="40"/>
        <v>#N/A</v>
      </c>
      <c r="G96" s="254" t="e">
        <f t="shared" si="41"/>
        <v>#N/A</v>
      </c>
      <c r="H96" s="255" t="e">
        <f t="shared" si="42"/>
        <v>#N/A</v>
      </c>
      <c r="I96" s="264"/>
      <c r="J96" s="265"/>
      <c r="K96" s="265"/>
      <c r="L96" s="265"/>
      <c r="M96" s="265"/>
      <c r="N96" s="265"/>
      <c r="O96" s="291"/>
      <c r="P96" s="290">
        <f t="shared" si="46"/>
        <v>0</v>
      </c>
      <c r="Q96" s="256" t="e">
        <f t="shared" si="36"/>
        <v>#N/A</v>
      </c>
      <c r="R96" s="251"/>
      <c r="S96" s="257">
        <f t="shared" si="47"/>
        <v>0</v>
      </c>
      <c r="T96" s="256" t="e">
        <f t="shared" si="37"/>
        <v>#N/A</v>
      </c>
      <c r="V96" s="259" t="e">
        <f t="shared" si="48"/>
        <v>#N/A</v>
      </c>
      <c r="W96" s="259" t="e">
        <f t="shared" si="43"/>
        <v>#N/A</v>
      </c>
      <c r="X96" s="259" t="e">
        <f ca="1" t="shared" si="44"/>
        <v>#N/A</v>
      </c>
      <c r="Y96" s="259" t="e">
        <f t="shared" si="49"/>
        <v>#N/A</v>
      </c>
      <c r="Z96" s="259" t="e">
        <f t="shared" si="45"/>
        <v>#N/A</v>
      </c>
    </row>
    <row r="97" spans="1:26" ht="12.75" outlineLevel="1">
      <c r="A97" s="297"/>
      <c r="B97" s="250">
        <v>90</v>
      </c>
      <c r="C97" s="315">
        <f>IF(OR($A97=0,$A97=" "),0,VLOOKUP($A97,eszamfak!$A$5:$M$99,3))</f>
        <v>0</v>
      </c>
      <c r="D97" s="251"/>
      <c r="E97" s="252" t="e">
        <f t="shared" si="39"/>
        <v>#N/A</v>
      </c>
      <c r="F97" s="253" t="e">
        <f t="shared" si="40"/>
        <v>#N/A</v>
      </c>
      <c r="G97" s="254" t="e">
        <f t="shared" si="41"/>
        <v>#N/A</v>
      </c>
      <c r="H97" s="255" t="e">
        <f t="shared" si="42"/>
        <v>#N/A</v>
      </c>
      <c r="I97" s="264"/>
      <c r="J97" s="265"/>
      <c r="K97" s="265"/>
      <c r="L97" s="265"/>
      <c r="M97" s="265"/>
      <c r="N97" s="265"/>
      <c r="O97" s="291"/>
      <c r="P97" s="290">
        <f t="shared" si="46"/>
        <v>0</v>
      </c>
      <c r="Q97" s="256" t="e">
        <f t="shared" si="36"/>
        <v>#N/A</v>
      </c>
      <c r="R97" s="251"/>
      <c r="S97" s="257">
        <f t="shared" si="47"/>
        <v>0</v>
      </c>
      <c r="T97" s="256" t="e">
        <f t="shared" si="37"/>
        <v>#N/A</v>
      </c>
      <c r="V97" s="259" t="e">
        <f t="shared" si="48"/>
        <v>#N/A</v>
      </c>
      <c r="W97" s="259" t="e">
        <f t="shared" si="43"/>
        <v>#N/A</v>
      </c>
      <c r="X97" s="259" t="e">
        <f ca="1" t="shared" si="44"/>
        <v>#N/A</v>
      </c>
      <c r="Y97" s="259" t="e">
        <f t="shared" si="49"/>
        <v>#N/A</v>
      </c>
      <c r="Z97" s="259" t="e">
        <f t="shared" si="45"/>
        <v>#N/A</v>
      </c>
    </row>
    <row r="98" spans="1:26" ht="12.75" outlineLevel="1">
      <c r="A98" s="297"/>
      <c r="B98" s="250">
        <v>91</v>
      </c>
      <c r="C98" s="315">
        <f>IF(OR($A98=0,$A98=" "),0,VLOOKUP($A98,eszamfak!$A$5:$M$99,3))</f>
        <v>0</v>
      </c>
      <c r="D98" s="251"/>
      <c r="E98" s="252" t="e">
        <f t="shared" si="39"/>
        <v>#N/A</v>
      </c>
      <c r="F98" s="253" t="e">
        <f t="shared" si="40"/>
        <v>#N/A</v>
      </c>
      <c r="G98" s="254" t="e">
        <f t="shared" si="41"/>
        <v>#N/A</v>
      </c>
      <c r="H98" s="255" t="e">
        <f t="shared" si="42"/>
        <v>#N/A</v>
      </c>
      <c r="I98" s="264"/>
      <c r="J98" s="265"/>
      <c r="K98" s="265"/>
      <c r="L98" s="265"/>
      <c r="M98" s="265"/>
      <c r="N98" s="265"/>
      <c r="O98" s="291"/>
      <c r="P98" s="290">
        <f t="shared" si="46"/>
        <v>0</v>
      </c>
      <c r="Q98" s="256" t="e">
        <f t="shared" si="36"/>
        <v>#N/A</v>
      </c>
      <c r="R98" s="251"/>
      <c r="S98" s="257">
        <f t="shared" si="47"/>
        <v>0</v>
      </c>
      <c r="T98" s="256" t="e">
        <f t="shared" si="37"/>
        <v>#N/A</v>
      </c>
      <c r="V98" s="259" t="e">
        <f t="shared" si="48"/>
        <v>#N/A</v>
      </c>
      <c r="W98" s="259" t="e">
        <f t="shared" si="43"/>
        <v>#N/A</v>
      </c>
      <c r="X98" s="259" t="e">
        <f ca="1" t="shared" si="44"/>
        <v>#N/A</v>
      </c>
      <c r="Y98" s="259" t="e">
        <f t="shared" si="49"/>
        <v>#N/A</v>
      </c>
      <c r="Z98" s="259" t="e">
        <f t="shared" si="45"/>
        <v>#N/A</v>
      </c>
    </row>
    <row r="99" spans="1:26" ht="12.75" outlineLevel="1">
      <c r="A99" s="297"/>
      <c r="B99" s="250">
        <v>92</v>
      </c>
      <c r="C99" s="315">
        <f>IF(OR($A99=0,$A99=" "),0,VLOOKUP($A99,eszamfak!$A$5:$M$99,3))</f>
        <v>0</v>
      </c>
      <c r="D99" s="251"/>
      <c r="E99" s="252" t="e">
        <f t="shared" si="39"/>
        <v>#N/A</v>
      </c>
      <c r="F99" s="253" t="e">
        <f t="shared" si="40"/>
        <v>#N/A</v>
      </c>
      <c r="G99" s="254" t="e">
        <f t="shared" si="41"/>
        <v>#N/A</v>
      </c>
      <c r="H99" s="255" t="e">
        <f t="shared" si="42"/>
        <v>#N/A</v>
      </c>
      <c r="I99" s="264"/>
      <c r="J99" s="265"/>
      <c r="K99" s="265"/>
      <c r="L99" s="265"/>
      <c r="M99" s="265"/>
      <c r="N99" s="265"/>
      <c r="O99" s="291"/>
      <c r="P99" s="290">
        <f t="shared" si="46"/>
        <v>0</v>
      </c>
      <c r="Q99" s="256" t="e">
        <f t="shared" si="36"/>
        <v>#N/A</v>
      </c>
      <c r="R99" s="251"/>
      <c r="S99" s="257">
        <f t="shared" si="47"/>
        <v>0</v>
      </c>
      <c r="T99" s="256" t="e">
        <f t="shared" si="37"/>
        <v>#N/A</v>
      </c>
      <c r="V99" s="259" t="e">
        <f t="shared" si="48"/>
        <v>#N/A</v>
      </c>
      <c r="W99" s="259" t="e">
        <f t="shared" si="43"/>
        <v>#N/A</v>
      </c>
      <c r="X99" s="259" t="e">
        <f ca="1" t="shared" si="44"/>
        <v>#N/A</v>
      </c>
      <c r="Y99" s="259" t="e">
        <f t="shared" si="49"/>
        <v>#N/A</v>
      </c>
      <c r="Z99" s="259" t="e">
        <f t="shared" si="45"/>
        <v>#N/A</v>
      </c>
    </row>
    <row r="100" spans="1:26" ht="12.75" outlineLevel="1">
      <c r="A100" s="297"/>
      <c r="B100" s="250">
        <v>93</v>
      </c>
      <c r="C100" s="315">
        <f>IF(OR($A100=0,$A100=" "),0,VLOOKUP($A100,eszamfak!$A$5:$M$99,3))</f>
        <v>0</v>
      </c>
      <c r="D100" s="251"/>
      <c r="E100" s="252" t="e">
        <f t="shared" si="39"/>
        <v>#N/A</v>
      </c>
      <c r="F100" s="253" t="e">
        <f t="shared" si="40"/>
        <v>#N/A</v>
      </c>
      <c r="G100" s="254" t="e">
        <f t="shared" si="41"/>
        <v>#N/A</v>
      </c>
      <c r="H100" s="255" t="e">
        <f t="shared" si="42"/>
        <v>#N/A</v>
      </c>
      <c r="I100" s="264"/>
      <c r="J100" s="265"/>
      <c r="K100" s="265"/>
      <c r="L100" s="265"/>
      <c r="M100" s="265"/>
      <c r="N100" s="265"/>
      <c r="O100" s="291"/>
      <c r="P100" s="290">
        <f t="shared" si="46"/>
        <v>0</v>
      </c>
      <c r="Q100" s="256" t="e">
        <f t="shared" si="36"/>
        <v>#N/A</v>
      </c>
      <c r="R100" s="251"/>
      <c r="S100" s="257">
        <f t="shared" si="47"/>
        <v>0</v>
      </c>
      <c r="T100" s="256" t="e">
        <f t="shared" si="37"/>
        <v>#N/A</v>
      </c>
      <c r="V100" s="259" t="e">
        <f t="shared" si="48"/>
        <v>#N/A</v>
      </c>
      <c r="W100" s="259" t="e">
        <f t="shared" si="43"/>
        <v>#N/A</v>
      </c>
      <c r="X100" s="259" t="e">
        <f ca="1" t="shared" si="44"/>
        <v>#N/A</v>
      </c>
      <c r="Y100" s="259" t="e">
        <f t="shared" si="49"/>
        <v>#N/A</v>
      </c>
      <c r="Z100" s="259" t="e">
        <f t="shared" si="45"/>
        <v>#N/A</v>
      </c>
    </row>
    <row r="101" spans="1:26" ht="12.75" outlineLevel="1">
      <c r="A101" s="297"/>
      <c r="B101" s="250">
        <v>94</v>
      </c>
      <c r="C101" s="315">
        <f>IF(OR($A101=0,$A101=" "),0,VLOOKUP($A101,eszamfak!$A$5:$M$99,3))</f>
        <v>0</v>
      </c>
      <c r="D101" s="251"/>
      <c r="E101" s="252" t="e">
        <f t="shared" si="39"/>
        <v>#N/A</v>
      </c>
      <c r="F101" s="253" t="e">
        <f t="shared" si="40"/>
        <v>#N/A</v>
      </c>
      <c r="G101" s="254" t="e">
        <f t="shared" si="41"/>
        <v>#N/A</v>
      </c>
      <c r="H101" s="255" t="e">
        <f t="shared" si="42"/>
        <v>#N/A</v>
      </c>
      <c r="I101" s="264"/>
      <c r="J101" s="265"/>
      <c r="K101" s="265"/>
      <c r="L101" s="265"/>
      <c r="M101" s="265"/>
      <c r="N101" s="265"/>
      <c r="O101" s="291"/>
      <c r="P101" s="290">
        <f t="shared" si="46"/>
        <v>0</v>
      </c>
      <c r="Q101" s="256" t="e">
        <f t="shared" si="36"/>
        <v>#N/A</v>
      </c>
      <c r="R101" s="251"/>
      <c r="S101" s="257">
        <f t="shared" si="47"/>
        <v>0</v>
      </c>
      <c r="T101" s="256" t="e">
        <f t="shared" si="37"/>
        <v>#N/A</v>
      </c>
      <c r="V101" s="259" t="e">
        <f t="shared" si="48"/>
        <v>#N/A</v>
      </c>
      <c r="W101" s="259" t="e">
        <f t="shared" si="43"/>
        <v>#N/A</v>
      </c>
      <c r="X101" s="259" t="e">
        <f ca="1" t="shared" si="44"/>
        <v>#N/A</v>
      </c>
      <c r="Y101" s="259" t="e">
        <f t="shared" si="49"/>
        <v>#N/A</v>
      </c>
      <c r="Z101" s="259" t="e">
        <f t="shared" si="45"/>
        <v>#N/A</v>
      </c>
    </row>
    <row r="102" spans="1:26" ht="12.75" outlineLevel="1">
      <c r="A102" s="297"/>
      <c r="B102" s="250">
        <v>95</v>
      </c>
      <c r="C102" s="315">
        <f>IF(OR($A102=0,$A102=" "),0,VLOOKUP($A102,eszamfak!$A$5:$M$99,3))</f>
        <v>0</v>
      </c>
      <c r="D102" s="251"/>
      <c r="E102" s="252" t="e">
        <f t="shared" si="39"/>
        <v>#N/A</v>
      </c>
      <c r="F102" s="253" t="e">
        <f t="shared" si="40"/>
        <v>#N/A</v>
      </c>
      <c r="G102" s="254" t="e">
        <f t="shared" si="41"/>
        <v>#N/A</v>
      </c>
      <c r="H102" s="255" t="e">
        <f t="shared" si="42"/>
        <v>#N/A</v>
      </c>
      <c r="I102" s="264"/>
      <c r="J102" s="265"/>
      <c r="K102" s="265"/>
      <c r="L102" s="265"/>
      <c r="M102" s="265"/>
      <c r="N102" s="265"/>
      <c r="O102" s="291"/>
      <c r="P102" s="290">
        <f t="shared" si="46"/>
        <v>0</v>
      </c>
      <c r="Q102" s="256" t="e">
        <f t="shared" si="36"/>
        <v>#N/A</v>
      </c>
      <c r="R102" s="251"/>
      <c r="S102" s="257">
        <f t="shared" si="47"/>
        <v>0</v>
      </c>
      <c r="T102" s="256" t="e">
        <f t="shared" si="37"/>
        <v>#N/A</v>
      </c>
      <c r="V102" s="259" t="e">
        <f t="shared" si="48"/>
        <v>#N/A</v>
      </c>
      <c r="W102" s="259" t="e">
        <f t="shared" si="43"/>
        <v>#N/A</v>
      </c>
      <c r="X102" s="259" t="e">
        <f ca="1" t="shared" si="44"/>
        <v>#N/A</v>
      </c>
      <c r="Y102" s="259" t="e">
        <f t="shared" si="49"/>
        <v>#N/A</v>
      </c>
      <c r="Z102" s="259" t="e">
        <f t="shared" si="45"/>
        <v>#N/A</v>
      </c>
    </row>
    <row r="103" spans="1:26" ht="12.75" outlineLevel="1">
      <c r="A103" s="297"/>
      <c r="B103" s="250">
        <v>96</v>
      </c>
      <c r="C103" s="315">
        <f>IF(OR($A103=0,$A103=" "),0,VLOOKUP($A103,eszamfak!$A$5:$M$99,3))</f>
        <v>0</v>
      </c>
      <c r="D103" s="251"/>
      <c r="E103" s="252" t="e">
        <f t="shared" si="39"/>
        <v>#N/A</v>
      </c>
      <c r="F103" s="253" t="e">
        <f t="shared" si="40"/>
        <v>#N/A</v>
      </c>
      <c r="G103" s="254" t="e">
        <f t="shared" si="41"/>
        <v>#N/A</v>
      </c>
      <c r="H103" s="255" t="e">
        <f t="shared" si="42"/>
        <v>#N/A</v>
      </c>
      <c r="I103" s="264"/>
      <c r="J103" s="265"/>
      <c r="K103" s="265"/>
      <c r="L103" s="265"/>
      <c r="M103" s="265"/>
      <c r="N103" s="265"/>
      <c r="O103" s="291"/>
      <c r="P103" s="290">
        <f t="shared" si="46"/>
        <v>0</v>
      </c>
      <c r="Q103" s="256" t="e">
        <f t="shared" si="36"/>
        <v>#N/A</v>
      </c>
      <c r="R103" s="251"/>
      <c r="S103" s="257">
        <f t="shared" si="47"/>
        <v>0</v>
      </c>
      <c r="T103" s="256" t="e">
        <f t="shared" si="37"/>
        <v>#N/A</v>
      </c>
      <c r="V103" s="259" t="e">
        <f t="shared" si="48"/>
        <v>#N/A</v>
      </c>
      <c r="W103" s="259" t="e">
        <f t="shared" si="43"/>
        <v>#N/A</v>
      </c>
      <c r="X103" s="259" t="e">
        <f ca="1" t="shared" si="44"/>
        <v>#N/A</v>
      </c>
      <c r="Y103" s="259" t="e">
        <f t="shared" si="49"/>
        <v>#N/A</v>
      </c>
      <c r="Z103" s="259" t="e">
        <f t="shared" si="45"/>
        <v>#N/A</v>
      </c>
    </row>
    <row r="104" spans="1:26" ht="12.75" outlineLevel="1">
      <c r="A104" s="297"/>
      <c r="B104" s="250">
        <v>97</v>
      </c>
      <c r="C104" s="315">
        <f>IF(OR($A104=0,$A104=" "),0,VLOOKUP($A104,eszamfak!$A$5:$M$99,3))</f>
        <v>0</v>
      </c>
      <c r="D104" s="251"/>
      <c r="E104" s="252" t="e">
        <f t="shared" si="39"/>
        <v>#N/A</v>
      </c>
      <c r="F104" s="253" t="e">
        <f t="shared" si="40"/>
        <v>#N/A</v>
      </c>
      <c r="G104" s="254" t="e">
        <f t="shared" si="41"/>
        <v>#N/A</v>
      </c>
      <c r="H104" s="255" t="e">
        <f>D104*G104</f>
        <v>#N/A</v>
      </c>
      <c r="I104" s="264"/>
      <c r="J104" s="265"/>
      <c r="K104" s="265"/>
      <c r="L104" s="265"/>
      <c r="M104" s="265"/>
      <c r="N104" s="265"/>
      <c r="O104" s="291"/>
      <c r="P104" s="290">
        <f t="shared" si="46"/>
        <v>0</v>
      </c>
      <c r="Q104" s="256" t="e">
        <f t="shared" si="36"/>
        <v>#N/A</v>
      </c>
      <c r="R104" s="251"/>
      <c r="S104" s="257">
        <f t="shared" si="47"/>
        <v>0</v>
      </c>
      <c r="T104" s="256" t="e">
        <f t="shared" si="37"/>
        <v>#N/A</v>
      </c>
      <c r="V104" s="259" t="e">
        <f t="shared" si="48"/>
        <v>#N/A</v>
      </c>
      <c r="W104" s="259" t="e">
        <f t="shared" si="43"/>
        <v>#N/A</v>
      </c>
      <c r="X104" s="259" t="e">
        <f ca="1" t="shared" si="44"/>
        <v>#N/A</v>
      </c>
      <c r="Y104" s="259" t="e">
        <f t="shared" si="49"/>
        <v>#N/A</v>
      </c>
      <c r="Z104" s="259" t="e">
        <f t="shared" si="45"/>
        <v>#N/A</v>
      </c>
    </row>
    <row r="105" spans="1:26" ht="12.75" outlineLevel="1">
      <c r="A105" s="297"/>
      <c r="B105" s="250">
        <v>98</v>
      </c>
      <c r="C105" s="315">
        <f>IF(OR($A105=0,$A105=" "),0,VLOOKUP($A105,eszamfak!$A$5:$M$99,3))</f>
        <v>0</v>
      </c>
      <c r="D105" s="251"/>
      <c r="E105" s="252" t="e">
        <f t="shared" si="39"/>
        <v>#N/A</v>
      </c>
      <c r="F105" s="253" t="e">
        <f t="shared" si="40"/>
        <v>#N/A</v>
      </c>
      <c r="G105" s="254" t="e">
        <f t="shared" si="41"/>
        <v>#N/A</v>
      </c>
      <c r="H105" s="255" t="e">
        <f>D105*G105</f>
        <v>#N/A</v>
      </c>
      <c r="I105" s="264"/>
      <c r="J105" s="265"/>
      <c r="K105" s="265"/>
      <c r="L105" s="265"/>
      <c r="M105" s="265"/>
      <c r="N105" s="265"/>
      <c r="O105" s="291"/>
      <c r="P105" s="290">
        <f t="shared" si="46"/>
        <v>0</v>
      </c>
      <c r="Q105" s="256" t="e">
        <f t="shared" si="36"/>
        <v>#N/A</v>
      </c>
      <c r="R105" s="251"/>
      <c r="S105" s="257">
        <f t="shared" si="47"/>
        <v>0</v>
      </c>
      <c r="T105" s="256" t="e">
        <f t="shared" si="37"/>
        <v>#N/A</v>
      </c>
      <c r="V105" s="259" t="e">
        <f t="shared" si="48"/>
        <v>#N/A</v>
      </c>
      <c r="W105" s="259" t="e">
        <f t="shared" si="43"/>
        <v>#N/A</v>
      </c>
      <c r="X105" s="259" t="e">
        <f ca="1" t="shared" si="44"/>
        <v>#N/A</v>
      </c>
      <c r="Y105" s="259" t="e">
        <f t="shared" si="49"/>
        <v>#N/A</v>
      </c>
      <c r="Z105" s="259" t="e">
        <f t="shared" si="45"/>
        <v>#N/A</v>
      </c>
    </row>
    <row r="106" spans="1:26" ht="12.75" outlineLevel="1">
      <c r="A106" s="297"/>
      <c r="B106" s="250">
        <v>99</v>
      </c>
      <c r="C106" s="315">
        <f>IF(OR($A106=0,$A106=" "),0,VLOOKUP($A106,eszamfak!$A$5:$M$99,3))</f>
        <v>0</v>
      </c>
      <c r="D106" s="251"/>
      <c r="E106" s="252" t="e">
        <f t="shared" si="39"/>
        <v>#N/A</v>
      </c>
      <c r="F106" s="253" t="e">
        <f t="shared" si="40"/>
        <v>#N/A</v>
      </c>
      <c r="G106" s="254" t="e">
        <f t="shared" si="41"/>
        <v>#N/A</v>
      </c>
      <c r="H106" s="255" t="e">
        <f>D106*G106</f>
        <v>#N/A</v>
      </c>
      <c r="I106" s="264"/>
      <c r="J106" s="265"/>
      <c r="K106" s="265"/>
      <c r="L106" s="265"/>
      <c r="M106" s="265"/>
      <c r="N106" s="265"/>
      <c r="O106" s="291"/>
      <c r="P106" s="290">
        <f t="shared" si="46"/>
        <v>0</v>
      </c>
      <c r="Q106" s="256" t="e">
        <f t="shared" si="36"/>
        <v>#N/A</v>
      </c>
      <c r="R106" s="251"/>
      <c r="S106" s="257">
        <f t="shared" si="47"/>
        <v>0</v>
      </c>
      <c r="T106" s="256" t="e">
        <f t="shared" si="37"/>
        <v>#N/A</v>
      </c>
      <c r="V106" s="259" t="e">
        <f t="shared" si="48"/>
        <v>#N/A</v>
      </c>
      <c r="W106" s="259" t="e">
        <f t="shared" si="43"/>
        <v>#N/A</v>
      </c>
      <c r="X106" s="259" t="e">
        <f ca="1" t="shared" si="44"/>
        <v>#N/A</v>
      </c>
      <c r="Y106" s="259" t="e">
        <f t="shared" si="49"/>
        <v>#N/A</v>
      </c>
      <c r="Z106" s="259" t="e">
        <f t="shared" si="45"/>
        <v>#N/A</v>
      </c>
    </row>
    <row r="107" spans="1:26" ht="12.75" outlineLevel="1">
      <c r="A107" s="297"/>
      <c r="B107" s="250">
        <v>100</v>
      </c>
      <c r="C107" s="315">
        <f>IF(OR($A107=0,$A107=" "),0,VLOOKUP($A107,eszamfak!$A$5:$M$99,3))</f>
        <v>0</v>
      </c>
      <c r="D107" s="251"/>
      <c r="E107" s="252" t="e">
        <f t="shared" si="39"/>
        <v>#N/A</v>
      </c>
      <c r="F107" s="253" t="e">
        <f t="shared" si="40"/>
        <v>#N/A</v>
      </c>
      <c r="G107" s="254" t="e">
        <f t="shared" si="41"/>
        <v>#N/A</v>
      </c>
      <c r="H107" s="255" t="e">
        <f>D107*G107</f>
        <v>#N/A</v>
      </c>
      <c r="I107" s="264"/>
      <c r="J107" s="265"/>
      <c r="K107" s="265"/>
      <c r="L107" s="265"/>
      <c r="M107" s="265"/>
      <c r="N107" s="265"/>
      <c r="O107" s="291"/>
      <c r="P107" s="290">
        <f t="shared" si="46"/>
        <v>0</v>
      </c>
      <c r="Q107" s="256" t="e">
        <f t="shared" si="36"/>
        <v>#N/A</v>
      </c>
      <c r="R107" s="251"/>
      <c r="S107" s="257">
        <f t="shared" si="47"/>
        <v>0</v>
      </c>
      <c r="T107" s="256" t="e">
        <f t="shared" si="37"/>
        <v>#N/A</v>
      </c>
      <c r="V107" s="259" t="e">
        <f t="shared" si="48"/>
        <v>#N/A</v>
      </c>
      <c r="W107" s="259" t="e">
        <f t="shared" si="43"/>
        <v>#N/A</v>
      </c>
      <c r="X107" s="259" t="e">
        <f ca="1" t="shared" si="44"/>
        <v>#N/A</v>
      </c>
      <c r="Y107" s="259" t="e">
        <f t="shared" si="49"/>
        <v>#N/A</v>
      </c>
      <c r="Z107" s="259" t="e">
        <f t="shared" si="45"/>
        <v>#N/A</v>
      </c>
    </row>
    <row r="108" spans="7:15" ht="12.75">
      <c r="G108" s="278"/>
      <c r="H108" s="278"/>
      <c r="I108" s="278"/>
      <c r="J108" s="278"/>
      <c r="K108" s="278"/>
      <c r="L108" s="278"/>
      <c r="M108" s="278"/>
      <c r="N108" s="278"/>
      <c r="O108" s="278"/>
    </row>
    <row r="109" spans="7:15" ht="12.75">
      <c r="G109" s="278"/>
      <c r="H109" s="278"/>
      <c r="I109" s="278"/>
      <c r="J109" s="278"/>
      <c r="K109" s="278"/>
      <c r="L109" s="278"/>
      <c r="M109" s="278"/>
      <c r="N109" s="278"/>
      <c r="O109" s="278"/>
    </row>
    <row r="110" spans="7:15" ht="12.75">
      <c r="G110" s="278"/>
      <c r="H110" s="278"/>
      <c r="I110" s="278"/>
      <c r="J110" s="278"/>
      <c r="K110" s="278"/>
      <c r="L110" s="278"/>
      <c r="M110" s="278"/>
      <c r="N110" s="278"/>
      <c r="O110" s="278"/>
    </row>
    <row r="111" spans="7:15" ht="12.75">
      <c r="G111" s="278"/>
      <c r="H111" s="278"/>
      <c r="I111" s="278"/>
      <c r="J111" s="278"/>
      <c r="K111" s="278"/>
      <c r="L111" s="278"/>
      <c r="M111" s="278"/>
      <c r="N111" s="278"/>
      <c r="O111" s="278"/>
    </row>
    <row r="112" spans="7:15" ht="12.75">
      <c r="G112" s="278"/>
      <c r="H112" s="278"/>
      <c r="I112" s="278"/>
      <c r="J112" s="278"/>
      <c r="K112" s="278"/>
      <c r="L112" s="278"/>
      <c r="M112" s="278"/>
      <c r="N112" s="278"/>
      <c r="O112" s="278"/>
    </row>
    <row r="113" spans="7:15" ht="12.75">
      <c r="G113" s="278"/>
      <c r="H113" s="278"/>
      <c r="I113" s="278"/>
      <c r="J113" s="278"/>
      <c r="K113" s="278"/>
      <c r="L113" s="278"/>
      <c r="M113" s="278"/>
      <c r="N113" s="278"/>
      <c r="O113" s="278"/>
    </row>
    <row r="114" spans="7:15" ht="12.75">
      <c r="G114" s="278"/>
      <c r="H114" s="278"/>
      <c r="I114" s="278"/>
      <c r="J114" s="278"/>
      <c r="K114" s="278"/>
      <c r="L114" s="278"/>
      <c r="M114" s="278"/>
      <c r="N114" s="278"/>
      <c r="O114" s="278"/>
    </row>
    <row r="115" spans="7:15" ht="12.75">
      <c r="G115" s="278"/>
      <c r="H115" s="278"/>
      <c r="I115" s="278"/>
      <c r="J115" s="278"/>
      <c r="K115" s="278"/>
      <c r="L115" s="278"/>
      <c r="M115" s="278"/>
      <c r="N115" s="278"/>
      <c r="O115" s="278"/>
    </row>
    <row r="116" spans="7:15" ht="12.75">
      <c r="G116" s="278"/>
      <c r="H116" s="278"/>
      <c r="I116" s="278"/>
      <c r="J116" s="278"/>
      <c r="K116" s="278"/>
      <c r="L116" s="278"/>
      <c r="M116" s="278"/>
      <c r="N116" s="278"/>
      <c r="O116" s="278"/>
    </row>
    <row r="117" spans="7:15" ht="12.75">
      <c r="G117" s="278"/>
      <c r="H117" s="278"/>
      <c r="I117" s="278"/>
      <c r="J117" s="278"/>
      <c r="K117" s="278"/>
      <c r="L117" s="278"/>
      <c r="M117" s="278"/>
      <c r="N117" s="278"/>
      <c r="O117" s="278"/>
    </row>
    <row r="118" spans="7:15" ht="12.75">
      <c r="G118" s="278"/>
      <c r="H118" s="278"/>
      <c r="I118" s="278"/>
      <c r="J118" s="278"/>
      <c r="K118" s="278"/>
      <c r="L118" s="278"/>
      <c r="M118" s="278"/>
      <c r="N118" s="278"/>
      <c r="O118" s="278"/>
    </row>
    <row r="119" spans="7:15" ht="12.75">
      <c r="G119" s="278"/>
      <c r="H119" s="278"/>
      <c r="I119" s="278"/>
      <c r="J119" s="278"/>
      <c r="K119" s="278"/>
      <c r="L119" s="278"/>
      <c r="M119" s="278"/>
      <c r="N119" s="278"/>
      <c r="O119" s="278"/>
    </row>
    <row r="120" spans="7:15" ht="12.75">
      <c r="G120" s="278"/>
      <c r="H120" s="278"/>
      <c r="I120" s="278"/>
      <c r="J120" s="278"/>
      <c r="K120" s="278"/>
      <c r="L120" s="278"/>
      <c r="M120" s="278"/>
      <c r="N120" s="278"/>
      <c r="O120" s="278"/>
    </row>
    <row r="121" spans="7:15" ht="12.75">
      <c r="G121" s="278"/>
      <c r="H121" s="278"/>
      <c r="I121" s="278"/>
      <c r="J121" s="278"/>
      <c r="K121" s="278"/>
      <c r="L121" s="278"/>
      <c r="M121" s="278"/>
      <c r="N121" s="278"/>
      <c r="O121" s="278"/>
    </row>
    <row r="122" spans="7:15" ht="12.75">
      <c r="G122" s="278"/>
      <c r="H122" s="278"/>
      <c r="I122" s="278"/>
      <c r="J122" s="278"/>
      <c r="K122" s="278"/>
      <c r="L122" s="278"/>
      <c r="M122" s="278"/>
      <c r="N122" s="278"/>
      <c r="O122" s="278"/>
    </row>
    <row r="123" spans="7:15" ht="12.75">
      <c r="G123" s="278"/>
      <c r="H123" s="278"/>
      <c r="I123" s="278"/>
      <c r="J123" s="278"/>
      <c r="K123" s="278"/>
      <c r="L123" s="278"/>
      <c r="M123" s="278"/>
      <c r="N123" s="278"/>
      <c r="O123" s="278"/>
    </row>
    <row r="124" spans="7:15" ht="12.75">
      <c r="G124" s="278"/>
      <c r="H124" s="278"/>
      <c r="I124" s="278"/>
      <c r="J124" s="278"/>
      <c r="K124" s="278"/>
      <c r="L124" s="278"/>
      <c r="M124" s="278"/>
      <c r="N124" s="278"/>
      <c r="O124" s="278"/>
    </row>
    <row r="125" spans="7:15" ht="12.75">
      <c r="G125" s="278"/>
      <c r="H125" s="278"/>
      <c r="I125" s="278"/>
      <c r="J125" s="278"/>
      <c r="K125" s="278"/>
      <c r="L125" s="278"/>
      <c r="M125" s="278"/>
      <c r="N125" s="278"/>
      <c r="O125" s="278"/>
    </row>
  </sheetData>
  <sheetProtection insertRows="0" deleteRows="0" sort="0" autoFilter="0"/>
  <mergeCells count="24">
    <mergeCell ref="AC16:AE16"/>
    <mergeCell ref="A3:A6"/>
    <mergeCell ref="O3:O4"/>
    <mergeCell ref="H5:H6"/>
    <mergeCell ref="I3:I4"/>
    <mergeCell ref="J3:J4"/>
    <mergeCell ref="K3:K4"/>
    <mergeCell ref="L3:L4"/>
    <mergeCell ref="B2:T2"/>
    <mergeCell ref="B7:T7"/>
    <mergeCell ref="G5:G6"/>
    <mergeCell ref="F5:F6"/>
    <mergeCell ref="C5:C6"/>
    <mergeCell ref="B5:B6"/>
    <mergeCell ref="B1:T1"/>
    <mergeCell ref="T5:T6"/>
    <mergeCell ref="P5:P6"/>
    <mergeCell ref="Q5:Q6"/>
    <mergeCell ref="R5:R6"/>
    <mergeCell ref="S5:S6"/>
    <mergeCell ref="M3:M4"/>
    <mergeCell ref="N3:N4"/>
    <mergeCell ref="E5:E6"/>
    <mergeCell ref="D5:D6"/>
  </mergeCells>
  <conditionalFormatting sqref="V8:Z107 G8:H107 P8:T107 B8:E107">
    <cfRule type="expression" priority="1" dxfId="1" stopIfTrue="1">
      <formula>MOD($B8,2)=1</formula>
    </cfRule>
  </conditionalFormatting>
  <conditionalFormatting sqref="I8:O107">
    <cfRule type="expression" priority="2" dxfId="6" stopIfTrue="1">
      <formula>MOD($B8,2)=1</formula>
    </cfRule>
  </conditionalFormatting>
  <conditionalFormatting sqref="F8:F107">
    <cfRule type="cellIs" priority="3" dxfId="0" operator="greaterThan" stopIfTrue="1">
      <formula>6</formula>
    </cfRule>
    <cfRule type="expression" priority="4" dxfId="1" stopIfTrue="1">
      <formula>MOD($B8,2)=1</formula>
    </cfRule>
  </conditionalFormatting>
  <conditionalFormatting sqref="AF16 AB21 AB23 AB25 AB27 AB29 AB31 AB33 AB35 AB37 AB39">
    <cfRule type="cellIs" priority="5" dxfId="0" operator="greaterThan" stopIfTrue="1">
      <formula>1</formula>
    </cfRule>
  </conditionalFormatting>
  <conditionalFormatting sqref="AF12 AF8">
    <cfRule type="cellIs" priority="6" dxfId="0" operator="greaterThan" stopIfTrue="1">
      <formula>0.8</formula>
    </cfRule>
  </conditionalFormatting>
  <dataValidations count="12">
    <dataValidation type="whole" allowBlank="1" showInputMessage="1" showErrorMessage="1" errorTitle="Girilen Değer Geçersiz!" error="1 ile 1000 arasında bir değer Giriniz" sqref="AD17:AM17 AD38:AM38 AD36:AM36 AD34:AM34 AD32:AM32 AD30:AM30 AD28:AM28 AD26:AM26 AD24:AM24 AD22:AM22 AD20:AM20 AD9:AM9 AD13:AM13">
      <formula1>1</formula1>
      <formula2>1000</formula2>
    </dataValidation>
    <dataValidation type="decimal" allowBlank="1" showErrorMessage="1" errorTitle="Hatalı bir değer girdiniz!" error="-99 ile 99 arasında bir değer giriniz" sqref="R8:R107">
      <formula1>-99</formula1>
      <formula2>99</formula2>
    </dataValidation>
    <dataValidation type="list" allowBlank="1" showInputMessage="1" showErrorMessage="1" sqref="E8:E107">
      <formula1>"15,20,25,32,40,50,65,80,100,125"</formula1>
    </dataValidation>
    <dataValidation type="decimal" allowBlank="1" showInputMessage="1" showErrorMessage="1" sqref="C8:D107">
      <formula1>0</formula1>
      <formula2>1000</formula2>
    </dataValidation>
    <dataValidation type="whole" allowBlank="1" showInputMessage="1" showErrorMessage="1" sqref="A8:A107">
      <formula1>0</formula1>
      <formula2>100</formula2>
    </dataValidation>
    <dataValidation type="whole" allowBlank="1" showInputMessage="1" showErrorMessage="1" promptTitle="Redüksiyon" prompt="1 ile 50 arasında bir değer giriniz!" errorTitle="Redüksiyon" error="1 ile 50 arasında bir değer giriniz!" sqref="I8:I107">
      <formula1>1</formula1>
      <formula2>100</formula2>
    </dataValidation>
    <dataValidation type="whole" allowBlank="1" showInputMessage="1" showErrorMessage="1" promptTitle="90 Dirsek" prompt="1 ile 50 arasında bir değer giriniz!" errorTitle="90 Dirsek" error="1 ile 50 arasında bir değer giriniz!" sqref="J8:J107">
      <formula1>1</formula1>
      <formula2>50</formula2>
    </dataValidation>
    <dataValidation type="whole" allowBlank="1" showInputMessage="1" showErrorMessage="1" promptTitle="45 Dirsek" prompt="1 ile 50 arasında bir değer giriniz!" errorTitle="45 Dirsek" error="1 ile 50 arasında bir değer giriniz!" sqref="K8:K107">
      <formula1>1</formula1>
      <formula2>50</formula2>
    </dataValidation>
    <dataValidation type="whole" allowBlank="1" showInputMessage="1" showErrorMessage="1" promptTitle="Vana" prompt="1 ile 50 arasında bir değer giriniz!" errorTitle="Vana" error="1 ile 50 arasında bir değer giriniz!" sqref="L8:L107">
      <formula1>1</formula1>
      <formula2>50</formula2>
    </dataValidation>
    <dataValidation type="whole" allowBlank="1" showInputMessage="1" showErrorMessage="1" promptTitle="T Kol Ayrılma" prompt="1 ile 50 arasında bir değer giriniz!" errorTitle="T Kol Ayrılma" error="1 ile 50 arasında bir değer giriniz!" sqref="M8:M107">
      <formula1>1</formula1>
      <formula2>50</formula2>
    </dataValidation>
    <dataValidation type="whole" allowBlank="1" showInputMessage="1" showErrorMessage="1" promptTitle="T Düz Geçiş" prompt="1 ile 50 arasında bir değer giriniz!" errorTitle="T Düz Geçiş" error="1 ile 50 arasında bir değer giriniz!" sqref="N8:N107">
      <formula1>1</formula1>
      <formula2>50</formula2>
    </dataValidation>
    <dataValidation type="whole" allowBlank="1" showInputMessage="1" showErrorMessage="1" promptTitle="T Ayrılma Karşıt" prompt="1 ile 50 arasında bir değer giriniz!" errorTitle="T Ayrılma Karşıt" error="1 ile 50 arasında bir değer giriniz!" sqref="O8:O107">
      <formula1>1</formula1>
      <formula2>50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T9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28125" style="308" customWidth="1"/>
    <col min="2" max="2" width="6.7109375" style="309" customWidth="1"/>
    <col min="3" max="3" width="6.7109375" style="310" customWidth="1"/>
    <col min="4" max="4" width="6.7109375" style="309" customWidth="1"/>
    <col min="5" max="5" width="6.7109375" style="310" customWidth="1"/>
    <col min="6" max="6" width="6.7109375" style="309" customWidth="1"/>
    <col min="7" max="7" width="6.7109375" style="311" customWidth="1"/>
    <col min="8" max="8" width="6.7109375" style="309" customWidth="1"/>
    <col min="9" max="9" width="6.7109375" style="310" customWidth="1"/>
    <col min="10" max="10" width="6.7109375" style="309" customWidth="1"/>
    <col min="11" max="11" width="6.7109375" style="310" customWidth="1"/>
    <col min="12" max="12" width="6.7109375" style="309" customWidth="1"/>
    <col min="13" max="13" width="6.7109375" style="310" customWidth="1"/>
    <col min="14" max="14" width="5.8515625" style="301" customWidth="1"/>
    <col min="15" max="15" width="10.7109375" style="301" customWidth="1"/>
    <col min="16" max="16" width="9.7109375" style="301" customWidth="1"/>
    <col min="17" max="17" width="8.421875" style="301" customWidth="1"/>
    <col min="18" max="18" width="9.140625" style="301" customWidth="1"/>
    <col min="19" max="19" width="9.00390625" style="301" customWidth="1"/>
    <col min="20" max="20" width="8.57421875" style="301" customWidth="1"/>
    <col min="21" max="16384" width="9.140625" style="301" customWidth="1"/>
  </cols>
  <sheetData>
    <row r="1" spans="1:20" ht="11.25">
      <c r="A1" s="298"/>
      <c r="B1" s="299"/>
      <c r="C1" s="354" t="s">
        <v>47</v>
      </c>
      <c r="D1" s="355"/>
      <c r="E1" s="354"/>
      <c r="F1" s="355"/>
      <c r="G1" s="354"/>
      <c r="H1" s="355"/>
      <c r="I1" s="354"/>
      <c r="J1" s="355"/>
      <c r="K1" s="354"/>
      <c r="L1" s="299"/>
      <c r="M1" s="300"/>
      <c r="O1" s="302" t="s">
        <v>51</v>
      </c>
      <c r="P1" s="302" t="s">
        <v>50</v>
      </c>
      <c r="Q1" s="302" t="s">
        <v>244</v>
      </c>
      <c r="R1" s="302" t="s">
        <v>245</v>
      </c>
      <c r="S1" s="302" t="s">
        <v>49</v>
      </c>
      <c r="T1" s="302" t="s">
        <v>131</v>
      </c>
    </row>
    <row r="2" spans="1:20" ht="12" customHeight="1">
      <c r="A2" s="356" t="s">
        <v>246</v>
      </c>
      <c r="B2" s="359" t="s">
        <v>247</v>
      </c>
      <c r="C2" s="360"/>
      <c r="D2" s="359" t="s">
        <v>248</v>
      </c>
      <c r="E2" s="360"/>
      <c r="F2" s="363" t="s">
        <v>249</v>
      </c>
      <c r="G2" s="364"/>
      <c r="H2" s="367" t="s">
        <v>242</v>
      </c>
      <c r="I2" s="368"/>
      <c r="J2" s="367" t="s">
        <v>38</v>
      </c>
      <c r="K2" s="364"/>
      <c r="L2" s="350" t="s">
        <v>250</v>
      </c>
      <c r="M2" s="351"/>
      <c r="O2" s="303">
        <v>4</v>
      </c>
      <c r="P2" s="303"/>
      <c r="Q2" s="303"/>
      <c r="R2" s="303"/>
      <c r="S2" s="303"/>
      <c r="T2" s="303"/>
    </row>
    <row r="3" spans="1:20" ht="11.25">
      <c r="A3" s="357"/>
      <c r="B3" s="361"/>
      <c r="C3" s="362"/>
      <c r="D3" s="361"/>
      <c r="E3" s="362"/>
      <c r="F3" s="365"/>
      <c r="G3" s="366"/>
      <c r="H3" s="365"/>
      <c r="I3" s="369"/>
      <c r="J3" s="365"/>
      <c r="K3" s="366"/>
      <c r="L3" s="352"/>
      <c r="M3" s="353"/>
      <c r="O3" s="302">
        <f>IF(OR(O$2=0,O$2=" "),0,VLOOKUP(O$2,$A$5:$M$99,3))</f>
        <v>11.8</v>
      </c>
      <c r="P3" s="302">
        <f>IF(OR(P$2=0,P$2=" "),0,VLOOKUP(P$2,$A$5:$M$99,5))</f>
        <v>0</v>
      </c>
      <c r="Q3" s="302">
        <f>IF(OR(Q$2=0,Q$2=" "),0,VLOOKUP(Q$2,$A$5:$M$99,7))</f>
        <v>0</v>
      </c>
      <c r="R3" s="302">
        <f>IF(OR(R$2=0,R$2=" "),0,VLOOKUP(R$2,$A$5:$M$99,9))</f>
        <v>0</v>
      </c>
      <c r="S3" s="302">
        <f>IF(OR(S$2=0,S$2=" "),0,VLOOKUP(S$2,$A$5:$M$99,11))</f>
        <v>0</v>
      </c>
      <c r="T3" s="302">
        <f>IF(OR(T$2=0,T$2=" "),0,VLOOKUP(T$2,$A$5:$M$99,13))</f>
        <v>0</v>
      </c>
    </row>
    <row r="4" spans="1:13" ht="22.5" customHeight="1">
      <c r="A4" s="358"/>
      <c r="B4" s="304" t="s">
        <v>48</v>
      </c>
      <c r="C4" s="305" t="s">
        <v>251</v>
      </c>
      <c r="D4" s="304" t="s">
        <v>48</v>
      </c>
      <c r="E4" s="305" t="s">
        <v>252</v>
      </c>
      <c r="F4" s="304" t="s">
        <v>48</v>
      </c>
      <c r="G4" s="305" t="s">
        <v>253</v>
      </c>
      <c r="H4" s="304" t="s">
        <v>48</v>
      </c>
      <c r="I4" s="305" t="s">
        <v>254</v>
      </c>
      <c r="J4" s="304" t="s">
        <v>48</v>
      </c>
      <c r="K4" s="305" t="s">
        <v>255</v>
      </c>
      <c r="L4" s="304" t="s">
        <v>48</v>
      </c>
      <c r="M4" s="305" t="s">
        <v>256</v>
      </c>
    </row>
    <row r="5" spans="1:13" ht="11.25">
      <c r="A5" s="292">
        <v>1</v>
      </c>
      <c r="B5" s="293">
        <v>0.819</v>
      </c>
      <c r="C5" s="294">
        <v>3.5</v>
      </c>
      <c r="D5" s="293">
        <v>0.701</v>
      </c>
      <c r="E5" s="294">
        <v>3.4</v>
      </c>
      <c r="F5" s="293">
        <v>0.738</v>
      </c>
      <c r="G5" s="294">
        <v>1.6</v>
      </c>
      <c r="H5" s="293">
        <v>0.738</v>
      </c>
      <c r="I5" s="294">
        <v>1.2</v>
      </c>
      <c r="J5" s="293">
        <v>0.563</v>
      </c>
      <c r="K5" s="294">
        <v>0.9</v>
      </c>
      <c r="L5" s="293">
        <v>0.876</v>
      </c>
      <c r="M5" s="294">
        <v>4.2</v>
      </c>
    </row>
    <row r="6" spans="1:13" ht="11.25">
      <c r="A6" s="292">
        <v>2</v>
      </c>
      <c r="B6" s="293">
        <v>0.831</v>
      </c>
      <c r="C6" s="294">
        <v>7</v>
      </c>
      <c r="D6" s="293">
        <v>0.438</v>
      </c>
      <c r="E6" s="294">
        <v>4.2</v>
      </c>
      <c r="F6" s="293">
        <v>0.569</v>
      </c>
      <c r="G6" s="294">
        <v>2.4</v>
      </c>
      <c r="H6" s="293">
        <v>0.569</v>
      </c>
      <c r="I6" s="294">
        <v>1.4</v>
      </c>
      <c r="J6" s="293">
        <v>0.469</v>
      </c>
      <c r="K6" s="294">
        <v>1.5</v>
      </c>
      <c r="L6" s="293">
        <v>0.773</v>
      </c>
      <c r="M6" s="294">
        <v>7.4</v>
      </c>
    </row>
    <row r="7" spans="1:13" ht="11.25">
      <c r="A7" s="292">
        <v>3</v>
      </c>
      <c r="B7" s="293">
        <v>0.772</v>
      </c>
      <c r="C7" s="294">
        <v>9.5</v>
      </c>
      <c r="D7" s="293">
        <v>0.347</v>
      </c>
      <c r="E7" s="294">
        <v>5</v>
      </c>
      <c r="F7" s="293">
        <v>0.515</v>
      </c>
      <c r="G7" s="294">
        <v>3.3</v>
      </c>
      <c r="H7" s="293">
        <v>0.515</v>
      </c>
      <c r="I7" s="294">
        <v>1.9</v>
      </c>
      <c r="J7" s="293">
        <v>0.375</v>
      </c>
      <c r="K7" s="294">
        <v>1.8</v>
      </c>
      <c r="L7" s="293">
        <v>0.763</v>
      </c>
      <c r="M7" s="294">
        <v>11</v>
      </c>
    </row>
    <row r="8" spans="1:13" ht="11.25">
      <c r="A8" s="292">
        <v>4</v>
      </c>
      <c r="B8" s="293">
        <v>0.719</v>
      </c>
      <c r="C8" s="294">
        <v>11.8</v>
      </c>
      <c r="D8" s="293">
        <v>0.281</v>
      </c>
      <c r="E8" s="294">
        <v>5.4</v>
      </c>
      <c r="F8" s="293">
        <v>0.452</v>
      </c>
      <c r="G8" s="294">
        <v>3.8</v>
      </c>
      <c r="H8" s="293">
        <v>0.452</v>
      </c>
      <c r="I8" s="294">
        <v>2.2</v>
      </c>
      <c r="J8" s="293">
        <v>0.328</v>
      </c>
      <c r="K8" s="294">
        <v>2.1</v>
      </c>
      <c r="L8" s="293">
        <v>729</v>
      </c>
      <c r="M8" s="294">
        <v>14</v>
      </c>
    </row>
    <row r="9" spans="1:13" ht="11.25">
      <c r="A9" s="292">
        <v>5</v>
      </c>
      <c r="B9" s="293">
        <v>0.682</v>
      </c>
      <c r="C9" s="294">
        <v>14</v>
      </c>
      <c r="D9" s="293">
        <v>0.25</v>
      </c>
      <c r="E9" s="294">
        <v>6</v>
      </c>
      <c r="F9" s="293">
        <v>0.419</v>
      </c>
      <c r="G9" s="294">
        <v>4.4</v>
      </c>
      <c r="H9" s="293">
        <v>0.419</v>
      </c>
      <c r="I9" s="294">
        <v>2.6</v>
      </c>
      <c r="J9" s="293">
        <v>0.3</v>
      </c>
      <c r="K9" s="294">
        <v>2.4</v>
      </c>
      <c r="L9" s="293">
        <v>0.7</v>
      </c>
      <c r="M9" s="294">
        <v>16.8</v>
      </c>
    </row>
    <row r="10" spans="1:13" ht="11.25">
      <c r="A10" s="292">
        <v>6</v>
      </c>
      <c r="B10" s="293">
        <v>0.67</v>
      </c>
      <c r="C10" s="294">
        <v>16.5</v>
      </c>
      <c r="D10" s="293">
        <v>0.218</v>
      </c>
      <c r="E10" s="294">
        <v>6.3</v>
      </c>
      <c r="F10" s="293">
        <v>0.4</v>
      </c>
      <c r="G10" s="294">
        <v>5.1</v>
      </c>
      <c r="H10" s="293">
        <v>0.4</v>
      </c>
      <c r="I10" s="294">
        <v>2.9</v>
      </c>
      <c r="J10" s="293">
        <v>0.27</v>
      </c>
      <c r="K10" s="294">
        <v>2.6</v>
      </c>
      <c r="L10" s="293">
        <v>0.677</v>
      </c>
      <c r="M10" s="294">
        <v>19.5</v>
      </c>
    </row>
    <row r="11" spans="1:13" ht="11.25">
      <c r="A11" s="292">
        <v>7</v>
      </c>
      <c r="B11" s="293">
        <v>0.644</v>
      </c>
      <c r="C11" s="294">
        <v>18.5</v>
      </c>
      <c r="D11" s="293">
        <v>0.19</v>
      </c>
      <c r="E11" s="294">
        <v>6.4</v>
      </c>
      <c r="F11" s="293">
        <v>0.381</v>
      </c>
      <c r="G11" s="294">
        <v>5.7</v>
      </c>
      <c r="H11" s="293">
        <v>0.381</v>
      </c>
      <c r="I11" s="294">
        <v>3.3</v>
      </c>
      <c r="J11" s="293">
        <v>0.25</v>
      </c>
      <c r="K11" s="294">
        <v>2.8</v>
      </c>
      <c r="L11" s="293">
        <v>0.669</v>
      </c>
      <c r="M11" s="294">
        <v>22.5</v>
      </c>
    </row>
    <row r="12" spans="1:13" ht="11.25">
      <c r="A12" s="292">
        <v>8</v>
      </c>
      <c r="B12" s="293">
        <v>0.625</v>
      </c>
      <c r="C12" s="294">
        <v>20.5</v>
      </c>
      <c r="D12" s="293">
        <v>0.192</v>
      </c>
      <c r="E12" s="294">
        <v>7</v>
      </c>
      <c r="F12" s="293">
        <v>0.363</v>
      </c>
      <c r="G12" s="294">
        <v>6.1</v>
      </c>
      <c r="H12" s="293">
        <v>0.363</v>
      </c>
      <c r="I12" s="294">
        <v>3.5</v>
      </c>
      <c r="J12" s="293">
        <v>0.234</v>
      </c>
      <c r="K12" s="294">
        <v>3</v>
      </c>
      <c r="L12" s="293">
        <v>0.651</v>
      </c>
      <c r="M12" s="294">
        <v>25</v>
      </c>
    </row>
    <row r="13" spans="1:13" ht="11.25">
      <c r="A13" s="292">
        <v>9</v>
      </c>
      <c r="B13" s="293">
        <v>0.609</v>
      </c>
      <c r="C13" s="294">
        <v>22.5</v>
      </c>
      <c r="D13" s="293">
        <v>0.171</v>
      </c>
      <c r="E13" s="294">
        <v>7.4</v>
      </c>
      <c r="F13" s="293">
        <v>0.349</v>
      </c>
      <c r="G13" s="294">
        <v>6.6</v>
      </c>
      <c r="H13" s="293">
        <v>0.349</v>
      </c>
      <c r="I13" s="294">
        <v>3.8</v>
      </c>
      <c r="J13" s="293">
        <v>0.222</v>
      </c>
      <c r="K13" s="294">
        <v>3.2</v>
      </c>
      <c r="L13" s="293">
        <v>0.648</v>
      </c>
      <c r="M13" s="294">
        <v>28</v>
      </c>
    </row>
    <row r="14" spans="1:13" ht="11.25">
      <c r="A14" s="292">
        <v>10</v>
      </c>
      <c r="B14" s="293">
        <v>0.597</v>
      </c>
      <c r="C14" s="294">
        <v>24.5</v>
      </c>
      <c r="D14" s="293">
        <v>0.162</v>
      </c>
      <c r="E14" s="294">
        <v>7.8</v>
      </c>
      <c r="F14" s="293">
        <v>0.338</v>
      </c>
      <c r="G14" s="294">
        <v>7.1</v>
      </c>
      <c r="H14" s="293">
        <v>0.338</v>
      </c>
      <c r="I14" s="294">
        <v>4.1</v>
      </c>
      <c r="J14" s="293">
        <v>0.212</v>
      </c>
      <c r="K14" s="294">
        <v>3.4</v>
      </c>
      <c r="L14" s="293">
        <v>0.625</v>
      </c>
      <c r="M14" s="294">
        <v>30</v>
      </c>
    </row>
    <row r="15" spans="1:13" ht="11.25">
      <c r="A15" s="292">
        <v>11</v>
      </c>
      <c r="B15" s="293">
        <v>0.587</v>
      </c>
      <c r="C15" s="294">
        <v>26.5</v>
      </c>
      <c r="D15" s="293">
        <v>0.157</v>
      </c>
      <c r="E15" s="294">
        <v>8.3</v>
      </c>
      <c r="F15" s="293">
        <v>0.329</v>
      </c>
      <c r="G15" s="294">
        <v>7.6</v>
      </c>
      <c r="H15" s="293">
        <v>0.329</v>
      </c>
      <c r="I15" s="294">
        <v>4.4</v>
      </c>
      <c r="J15" s="293">
        <v>0.204</v>
      </c>
      <c r="K15" s="294">
        <v>3.6</v>
      </c>
      <c r="L15" s="293">
        <v>0.62</v>
      </c>
      <c r="M15" s="294">
        <v>32.7</v>
      </c>
    </row>
    <row r="16" spans="1:13" ht="11.25">
      <c r="A16" s="292">
        <v>12</v>
      </c>
      <c r="B16" s="293">
        <v>0.579</v>
      </c>
      <c r="C16" s="294">
        <v>28.5</v>
      </c>
      <c r="D16" s="293">
        <v>0.157</v>
      </c>
      <c r="E16" s="294">
        <v>8.5</v>
      </c>
      <c r="F16" s="293">
        <v>0.325</v>
      </c>
      <c r="G16" s="294">
        <v>8.2</v>
      </c>
      <c r="H16" s="293">
        <v>0.325</v>
      </c>
      <c r="I16" s="294">
        <v>4.7</v>
      </c>
      <c r="J16" s="293">
        <v>0.197</v>
      </c>
      <c r="K16" s="294">
        <v>3.8</v>
      </c>
      <c r="L16" s="293">
        <v>0.616</v>
      </c>
      <c r="M16" s="294">
        <v>35.5</v>
      </c>
    </row>
    <row r="17" spans="1:13" ht="11.25">
      <c r="A17" s="292">
        <v>13</v>
      </c>
      <c r="B17" s="293">
        <v>0.566</v>
      </c>
      <c r="C17" s="294">
        <v>30.2</v>
      </c>
      <c r="D17" s="293">
        <v>0.141</v>
      </c>
      <c r="E17" s="294">
        <v>8.8</v>
      </c>
      <c r="F17" s="293">
        <v>0.318</v>
      </c>
      <c r="G17" s="294">
        <v>8.7</v>
      </c>
      <c r="H17" s="293">
        <v>0.318</v>
      </c>
      <c r="I17" s="294">
        <v>5</v>
      </c>
      <c r="J17" s="293">
        <v>0.87</v>
      </c>
      <c r="K17" s="294">
        <v>3.9</v>
      </c>
      <c r="L17" s="293">
        <v>0.611</v>
      </c>
      <c r="M17" s="294">
        <v>38.1</v>
      </c>
    </row>
    <row r="18" spans="1:13" ht="11.25">
      <c r="A18" s="292">
        <v>14</v>
      </c>
      <c r="B18" s="293">
        <v>0.557</v>
      </c>
      <c r="C18" s="294">
        <v>32</v>
      </c>
      <c r="D18" s="293">
        <v>0.133</v>
      </c>
      <c r="E18" s="294">
        <v>9</v>
      </c>
      <c r="F18" s="293">
        <v>0.309</v>
      </c>
      <c r="G18" s="294">
        <v>9.1</v>
      </c>
      <c r="H18" s="293">
        <v>0.309</v>
      </c>
      <c r="I18" s="294">
        <v>5.2</v>
      </c>
      <c r="J18" s="293">
        <v>0.183</v>
      </c>
      <c r="K18" s="294">
        <v>4.1</v>
      </c>
      <c r="L18" s="293">
        <v>0.607</v>
      </c>
      <c r="M18" s="294">
        <v>40.8</v>
      </c>
    </row>
    <row r="19" spans="1:13" ht="11.25">
      <c r="A19" s="292">
        <v>15</v>
      </c>
      <c r="B19" s="293">
        <v>0.552</v>
      </c>
      <c r="C19" s="294">
        <v>33.9</v>
      </c>
      <c r="D19" s="293">
        <v>0.131</v>
      </c>
      <c r="E19" s="294">
        <v>9.5</v>
      </c>
      <c r="F19" s="293">
        <v>0.303</v>
      </c>
      <c r="G19" s="294">
        <v>9.6</v>
      </c>
      <c r="H19" s="293">
        <v>0.303</v>
      </c>
      <c r="I19" s="294">
        <v>5.5</v>
      </c>
      <c r="J19" s="293">
        <v>0.179</v>
      </c>
      <c r="K19" s="294">
        <v>4.3</v>
      </c>
      <c r="L19" s="293">
        <v>0.602</v>
      </c>
      <c r="M19" s="294">
        <v>43.3</v>
      </c>
    </row>
    <row r="20" spans="1:13" ht="11.25">
      <c r="A20" s="292">
        <v>16</v>
      </c>
      <c r="B20" s="293">
        <v>0.548</v>
      </c>
      <c r="C20" s="294">
        <v>35.9</v>
      </c>
      <c r="D20" s="293">
        <v>0.127</v>
      </c>
      <c r="E20" s="294">
        <v>9.8</v>
      </c>
      <c r="F20" s="293">
        <v>0.297</v>
      </c>
      <c r="G20" s="294">
        <v>10</v>
      </c>
      <c r="H20" s="293">
        <v>0.297</v>
      </c>
      <c r="I20" s="294">
        <v>5.8</v>
      </c>
      <c r="J20" s="293">
        <v>0.171</v>
      </c>
      <c r="K20" s="294">
        <v>4.4</v>
      </c>
      <c r="L20" s="293">
        <v>0.598</v>
      </c>
      <c r="M20" s="294">
        <v>45.9</v>
      </c>
    </row>
    <row r="21" spans="1:13" ht="11.25">
      <c r="A21" s="292">
        <v>17</v>
      </c>
      <c r="B21" s="293">
        <v>0.545</v>
      </c>
      <c r="C21" s="294">
        <v>38</v>
      </c>
      <c r="D21" s="293">
        <v>0.122</v>
      </c>
      <c r="E21" s="294">
        <v>10</v>
      </c>
      <c r="F21" s="293">
        <v>0.294</v>
      </c>
      <c r="G21" s="294">
        <v>10.5</v>
      </c>
      <c r="H21" s="293">
        <v>0.294</v>
      </c>
      <c r="I21" s="294">
        <v>6</v>
      </c>
      <c r="J21" s="293">
        <v>0.169</v>
      </c>
      <c r="K21" s="294">
        <v>4.6</v>
      </c>
      <c r="L21" s="293">
        <v>0.593</v>
      </c>
      <c r="M21" s="294">
        <v>48.4</v>
      </c>
    </row>
    <row r="22" spans="1:13" ht="11.25">
      <c r="A22" s="292">
        <v>18</v>
      </c>
      <c r="B22" s="293">
        <v>0.542</v>
      </c>
      <c r="C22" s="294">
        <v>40</v>
      </c>
      <c r="D22" s="293">
        <v>0.121</v>
      </c>
      <c r="E22" s="294">
        <v>10.5</v>
      </c>
      <c r="F22" s="293">
        <v>0.285</v>
      </c>
      <c r="G22" s="294">
        <v>10.8</v>
      </c>
      <c r="H22" s="293">
        <v>0.285</v>
      </c>
      <c r="I22" s="294">
        <v>6.2</v>
      </c>
      <c r="J22" s="293">
        <v>0.163</v>
      </c>
      <c r="K22" s="294">
        <v>4.7</v>
      </c>
      <c r="L22" s="293">
        <v>0.588</v>
      </c>
      <c r="M22" s="294">
        <v>50.8</v>
      </c>
    </row>
    <row r="23" spans="1:13" ht="11.25">
      <c r="A23" s="292">
        <v>19</v>
      </c>
      <c r="B23" s="293">
        <v>0.539</v>
      </c>
      <c r="C23" s="294">
        <v>42</v>
      </c>
      <c r="D23" s="293">
        <v>0.118</v>
      </c>
      <c r="E23" s="294">
        <v>10.8</v>
      </c>
      <c r="F23" s="293">
        <v>0.28</v>
      </c>
      <c r="G23" s="294">
        <v>11.2</v>
      </c>
      <c r="H23" s="293">
        <v>0.28</v>
      </c>
      <c r="I23" s="294">
        <v>6.4</v>
      </c>
      <c r="J23" s="293">
        <v>0.161</v>
      </c>
      <c r="K23" s="294">
        <v>4.9</v>
      </c>
      <c r="L23" s="293">
        <v>0.583</v>
      </c>
      <c r="M23" s="294">
        <v>53.2</v>
      </c>
    </row>
    <row r="24" spans="1:13" ht="11.25">
      <c r="A24" s="292">
        <v>20</v>
      </c>
      <c r="B24" s="293">
        <v>0.524</v>
      </c>
      <c r="C24" s="294">
        <v>43</v>
      </c>
      <c r="D24" s="293">
        <v>0.114</v>
      </c>
      <c r="E24" s="294">
        <v>11</v>
      </c>
      <c r="F24" s="293">
        <v>0.278</v>
      </c>
      <c r="G24" s="294">
        <v>11.7</v>
      </c>
      <c r="H24" s="293">
        <v>0.278</v>
      </c>
      <c r="I24" s="294">
        <v>6.7</v>
      </c>
      <c r="J24" s="293">
        <v>0.156</v>
      </c>
      <c r="K24" s="294">
        <v>5</v>
      </c>
      <c r="L24" s="293">
        <v>0.578</v>
      </c>
      <c r="M24" s="294">
        <v>55.5</v>
      </c>
    </row>
    <row r="25" spans="1:13" ht="11.25">
      <c r="A25" s="292">
        <v>21</v>
      </c>
      <c r="B25" s="293">
        <v>0.523</v>
      </c>
      <c r="C25" s="294">
        <v>45</v>
      </c>
      <c r="D25" s="293">
        <v>0.111</v>
      </c>
      <c r="E25" s="294">
        <v>11.2</v>
      </c>
      <c r="F25" s="293">
        <v>0.275</v>
      </c>
      <c r="G25" s="294">
        <v>12.2</v>
      </c>
      <c r="H25" s="293">
        <v>0.275</v>
      </c>
      <c r="I25" s="294">
        <v>7</v>
      </c>
      <c r="J25" s="293">
        <v>0.153</v>
      </c>
      <c r="K25" s="294">
        <v>5.1</v>
      </c>
      <c r="L25" s="293">
        <v>0.576</v>
      </c>
      <c r="M25" s="294">
        <v>58.1</v>
      </c>
    </row>
    <row r="26" spans="1:13" ht="11.25">
      <c r="A26" s="292">
        <v>22</v>
      </c>
      <c r="B26" s="293">
        <v>0.521</v>
      </c>
      <c r="C26" s="294">
        <v>47</v>
      </c>
      <c r="D26" s="293">
        <v>0.108</v>
      </c>
      <c r="E26" s="294">
        <v>11.5</v>
      </c>
      <c r="F26" s="293">
        <v>0.272</v>
      </c>
      <c r="G26" s="294">
        <v>12.6</v>
      </c>
      <c r="H26" s="293">
        <v>0.272</v>
      </c>
      <c r="I26" s="294">
        <v>7.2</v>
      </c>
      <c r="J26" s="293">
        <v>0.15</v>
      </c>
      <c r="K26" s="294">
        <v>5.3</v>
      </c>
      <c r="L26" s="293">
        <v>0.574</v>
      </c>
      <c r="M26" s="294">
        <v>60.6</v>
      </c>
    </row>
    <row r="27" spans="1:13" ht="11.25">
      <c r="A27" s="292">
        <v>23</v>
      </c>
      <c r="B27" s="293">
        <v>0.515</v>
      </c>
      <c r="C27" s="294">
        <v>48.5</v>
      </c>
      <c r="D27" s="293">
        <v>0.106</v>
      </c>
      <c r="E27" s="294">
        <v>11.7</v>
      </c>
      <c r="F27" s="293">
        <v>0.267</v>
      </c>
      <c r="G27" s="294">
        <v>12.9</v>
      </c>
      <c r="H27" s="293">
        <v>0.267</v>
      </c>
      <c r="I27" s="294">
        <v>7.4</v>
      </c>
      <c r="J27" s="293">
        <v>0.148</v>
      </c>
      <c r="K27" s="294">
        <v>5.4</v>
      </c>
      <c r="L27" s="293">
        <v>0.571</v>
      </c>
      <c r="M27" s="294">
        <v>63.5</v>
      </c>
    </row>
    <row r="28" spans="1:13" ht="11.25">
      <c r="A28" s="292">
        <v>24</v>
      </c>
      <c r="B28" s="293">
        <v>0.508</v>
      </c>
      <c r="C28" s="294">
        <v>50</v>
      </c>
      <c r="D28" s="293">
        <v>0.104</v>
      </c>
      <c r="E28" s="294">
        <v>12</v>
      </c>
      <c r="F28" s="293">
        <v>0.262</v>
      </c>
      <c r="G28" s="294">
        <v>13.3</v>
      </c>
      <c r="H28" s="293">
        <v>0.262</v>
      </c>
      <c r="I28" s="294">
        <v>7.6</v>
      </c>
      <c r="J28" s="293">
        <v>0.145</v>
      </c>
      <c r="K28" s="294">
        <v>5.6</v>
      </c>
      <c r="L28" s="293">
        <v>0.569</v>
      </c>
      <c r="M28" s="294">
        <v>65.5</v>
      </c>
    </row>
    <row r="29" spans="1:13" ht="11.25">
      <c r="A29" s="292">
        <v>25</v>
      </c>
      <c r="B29" s="293">
        <v>0.504</v>
      </c>
      <c r="C29" s="294">
        <v>51.6</v>
      </c>
      <c r="D29" s="293">
        <v>0.102</v>
      </c>
      <c r="E29" s="294">
        <v>12.2</v>
      </c>
      <c r="F29" s="293">
        <v>0.258</v>
      </c>
      <c r="G29" s="294">
        <v>13.6</v>
      </c>
      <c r="H29" s="293">
        <v>0.258</v>
      </c>
      <c r="I29" s="294">
        <v>7.8</v>
      </c>
      <c r="J29" s="293">
        <v>0.143</v>
      </c>
      <c r="K29" s="294">
        <v>5.7</v>
      </c>
      <c r="L29" s="293">
        <v>0.567</v>
      </c>
      <c r="M29" s="294">
        <v>68</v>
      </c>
    </row>
    <row r="30" spans="1:13" ht="11.25">
      <c r="A30" s="292">
        <v>26</v>
      </c>
      <c r="B30" s="293">
        <v>0.499</v>
      </c>
      <c r="C30" s="294">
        <v>53.2</v>
      </c>
      <c r="D30" s="293">
        <v>0.1</v>
      </c>
      <c r="E30" s="294">
        <v>12.5</v>
      </c>
      <c r="F30" s="293">
        <v>0.254</v>
      </c>
      <c r="G30" s="294">
        <v>13.9</v>
      </c>
      <c r="H30" s="293">
        <v>0.254</v>
      </c>
      <c r="I30" s="294">
        <v>8</v>
      </c>
      <c r="J30" s="293">
        <v>0.141</v>
      </c>
      <c r="K30" s="294">
        <v>5.9</v>
      </c>
      <c r="L30" s="293">
        <v>0.564</v>
      </c>
      <c r="M30" s="294">
        <v>70.4</v>
      </c>
    </row>
    <row r="31" spans="1:13" ht="11.25">
      <c r="A31" s="292">
        <v>27</v>
      </c>
      <c r="B31" s="293">
        <v>0.495</v>
      </c>
      <c r="C31" s="294">
        <v>54.7</v>
      </c>
      <c r="D31" s="293">
        <v>0.098</v>
      </c>
      <c r="E31" s="294">
        <v>12.6</v>
      </c>
      <c r="F31" s="293">
        <v>0.251</v>
      </c>
      <c r="G31" s="294">
        <v>14.3</v>
      </c>
      <c r="H31" s="293">
        <v>0.251</v>
      </c>
      <c r="I31" s="294">
        <v>8.2</v>
      </c>
      <c r="J31" s="293">
        <v>0.14</v>
      </c>
      <c r="K31" s="294">
        <v>6</v>
      </c>
      <c r="L31" s="293">
        <v>0.561</v>
      </c>
      <c r="M31" s="294">
        <v>72.7</v>
      </c>
    </row>
    <row r="32" spans="1:13" ht="11.25">
      <c r="A32" s="292">
        <v>28</v>
      </c>
      <c r="B32" s="293">
        <v>0.49</v>
      </c>
      <c r="C32" s="294">
        <v>56.3</v>
      </c>
      <c r="D32" s="293">
        <v>0.095</v>
      </c>
      <c r="E32" s="294">
        <v>12.8</v>
      </c>
      <c r="F32" s="293">
        <v>0.248</v>
      </c>
      <c r="G32" s="294">
        <v>14.6</v>
      </c>
      <c r="H32" s="293">
        <v>0.248</v>
      </c>
      <c r="I32" s="294">
        <v>8.4</v>
      </c>
      <c r="J32" s="293">
        <v>0.138</v>
      </c>
      <c r="K32" s="294">
        <v>6.2</v>
      </c>
      <c r="L32" s="293">
        <v>0.559</v>
      </c>
      <c r="M32" s="294">
        <v>75.1</v>
      </c>
    </row>
    <row r="33" spans="1:13" ht="11.25">
      <c r="A33" s="292">
        <v>29</v>
      </c>
      <c r="B33" s="293">
        <v>0.484</v>
      </c>
      <c r="C33" s="294">
        <v>57.5</v>
      </c>
      <c r="D33" s="293">
        <v>0.094</v>
      </c>
      <c r="E33" s="294">
        <v>13.1</v>
      </c>
      <c r="F33" s="293">
        <v>0.247</v>
      </c>
      <c r="G33" s="294">
        <v>15.1</v>
      </c>
      <c r="H33" s="293">
        <v>0.247</v>
      </c>
      <c r="I33" s="294">
        <v>8.6</v>
      </c>
      <c r="J33" s="293">
        <v>0.136</v>
      </c>
      <c r="K33" s="294">
        <v>6.3</v>
      </c>
      <c r="L33" s="293">
        <v>0.557</v>
      </c>
      <c r="M33" s="294">
        <v>77.5</v>
      </c>
    </row>
    <row r="34" spans="1:13" ht="11.25">
      <c r="A34" s="292">
        <v>30</v>
      </c>
      <c r="B34" s="293">
        <v>0.477</v>
      </c>
      <c r="C34" s="294">
        <v>58.7</v>
      </c>
      <c r="D34" s="293">
        <v>0.093</v>
      </c>
      <c r="E34" s="294">
        <v>13.5</v>
      </c>
      <c r="F34" s="293">
        <v>0.246</v>
      </c>
      <c r="G34" s="294">
        <v>15.5</v>
      </c>
      <c r="H34" s="293">
        <v>0.246</v>
      </c>
      <c r="I34" s="294">
        <v>8.9</v>
      </c>
      <c r="J34" s="293">
        <v>0.133</v>
      </c>
      <c r="K34" s="294">
        <v>6.4</v>
      </c>
      <c r="L34" s="293">
        <v>0.555</v>
      </c>
      <c r="M34" s="294">
        <v>79.9</v>
      </c>
    </row>
    <row r="35" spans="1:13" ht="11.25">
      <c r="A35" s="292">
        <v>31</v>
      </c>
      <c r="B35" s="293">
        <v>0.474</v>
      </c>
      <c r="C35" s="294">
        <v>60.2</v>
      </c>
      <c r="D35" s="293">
        <v>0.092</v>
      </c>
      <c r="E35" s="294">
        <v>13.6</v>
      </c>
      <c r="F35" s="293">
        <v>0.244</v>
      </c>
      <c r="G35" s="294">
        <v>15.9</v>
      </c>
      <c r="H35" s="293">
        <v>0.244</v>
      </c>
      <c r="I35" s="294">
        <v>9.1</v>
      </c>
      <c r="J35" s="293">
        <v>0.131</v>
      </c>
      <c r="K35" s="294">
        <v>6.5</v>
      </c>
      <c r="L35" s="295"/>
      <c r="M35" s="296"/>
    </row>
    <row r="36" spans="1:13" ht="11.25">
      <c r="A36" s="292">
        <v>32</v>
      </c>
      <c r="B36" s="293">
        <v>0.471</v>
      </c>
      <c r="C36" s="294">
        <v>61.7</v>
      </c>
      <c r="D36" s="293">
        <v>0.09</v>
      </c>
      <c r="E36" s="294">
        <v>13.9</v>
      </c>
      <c r="F36" s="293">
        <v>0.241</v>
      </c>
      <c r="G36" s="294">
        <v>16.3</v>
      </c>
      <c r="H36" s="293">
        <v>0.241</v>
      </c>
      <c r="I36" s="294">
        <v>9.3</v>
      </c>
      <c r="J36" s="293">
        <v>0.13</v>
      </c>
      <c r="K36" s="294">
        <v>6.6</v>
      </c>
      <c r="L36" s="295"/>
      <c r="M36" s="296"/>
    </row>
    <row r="37" spans="1:13" ht="11.25">
      <c r="A37" s="292">
        <v>33</v>
      </c>
      <c r="B37" s="293">
        <v>0.467</v>
      </c>
      <c r="C37" s="294">
        <v>63.2</v>
      </c>
      <c r="D37" s="293">
        <v>0.089</v>
      </c>
      <c r="E37" s="294">
        <v>14.1</v>
      </c>
      <c r="F37" s="293">
        <v>0.239</v>
      </c>
      <c r="G37" s="294">
        <v>16.6</v>
      </c>
      <c r="H37" s="293">
        <v>0.239</v>
      </c>
      <c r="I37" s="294">
        <v>9.5</v>
      </c>
      <c r="J37" s="293">
        <v>0.128</v>
      </c>
      <c r="K37" s="294">
        <v>6.6</v>
      </c>
      <c r="L37" s="295"/>
      <c r="M37" s="296"/>
    </row>
    <row r="38" spans="1:13" ht="11.25">
      <c r="A38" s="292">
        <v>34</v>
      </c>
      <c r="B38" s="293">
        <v>0.464</v>
      </c>
      <c r="C38" s="294">
        <v>64.7</v>
      </c>
      <c r="D38" s="293">
        <v>0.087</v>
      </c>
      <c r="E38" s="294">
        <v>14.3</v>
      </c>
      <c r="F38" s="293">
        <v>0.236</v>
      </c>
      <c r="G38" s="294">
        <v>16.9</v>
      </c>
      <c r="H38" s="293">
        <v>0.236</v>
      </c>
      <c r="I38" s="294">
        <v>9.7</v>
      </c>
      <c r="J38" s="293">
        <v>0.127</v>
      </c>
      <c r="K38" s="294">
        <v>6.9</v>
      </c>
      <c r="L38" s="295"/>
      <c r="M38" s="296"/>
    </row>
    <row r="39" spans="1:13" ht="11.25">
      <c r="A39" s="292">
        <v>35</v>
      </c>
      <c r="B39" s="293">
        <v>0.461</v>
      </c>
      <c r="C39" s="294">
        <v>66.2</v>
      </c>
      <c r="D39" s="293">
        <v>0.086</v>
      </c>
      <c r="E39" s="294">
        <v>14.5</v>
      </c>
      <c r="F39" s="293">
        <v>0.234</v>
      </c>
      <c r="G39" s="294">
        <v>17.2</v>
      </c>
      <c r="H39" s="293">
        <v>0.234</v>
      </c>
      <c r="I39" s="294">
        <v>9.9</v>
      </c>
      <c r="J39" s="293">
        <v>0.125</v>
      </c>
      <c r="K39" s="294">
        <v>7</v>
      </c>
      <c r="L39" s="295"/>
      <c r="M39" s="296"/>
    </row>
    <row r="40" spans="1:13" ht="11.25">
      <c r="A40" s="292">
        <v>36</v>
      </c>
      <c r="B40" s="293">
        <v>0.459</v>
      </c>
      <c r="C40" s="294">
        <v>67.7</v>
      </c>
      <c r="D40" s="293">
        <v>0.085</v>
      </c>
      <c r="E40" s="294">
        <v>14.7</v>
      </c>
      <c r="F40" s="293">
        <v>0.232</v>
      </c>
      <c r="G40" s="294">
        <v>17.6</v>
      </c>
      <c r="H40" s="293">
        <v>0.232</v>
      </c>
      <c r="I40" s="294">
        <v>10.1</v>
      </c>
      <c r="J40" s="293">
        <v>0.124</v>
      </c>
      <c r="K40" s="294">
        <v>7.2</v>
      </c>
      <c r="L40" s="295"/>
      <c r="M40" s="296"/>
    </row>
    <row r="41" spans="1:13" ht="11.25">
      <c r="A41" s="292">
        <v>37</v>
      </c>
      <c r="B41" s="293">
        <v>0.457</v>
      </c>
      <c r="C41" s="294">
        <v>69.3</v>
      </c>
      <c r="D41" s="293">
        <v>0.084</v>
      </c>
      <c r="E41" s="294">
        <v>15</v>
      </c>
      <c r="F41" s="293">
        <v>0.231</v>
      </c>
      <c r="G41" s="294">
        <v>18</v>
      </c>
      <c r="H41" s="293">
        <v>0.231</v>
      </c>
      <c r="I41" s="294">
        <v>10.3</v>
      </c>
      <c r="J41" s="293">
        <v>0.123</v>
      </c>
      <c r="K41" s="294">
        <v>7.3</v>
      </c>
      <c r="L41" s="295"/>
      <c r="M41" s="296"/>
    </row>
    <row r="42" spans="1:13" ht="11.25">
      <c r="A42" s="292">
        <v>38</v>
      </c>
      <c r="B42" s="293">
        <v>0.455</v>
      </c>
      <c r="C42" s="294">
        <v>70.9</v>
      </c>
      <c r="D42" s="293">
        <v>0.084</v>
      </c>
      <c r="E42" s="294">
        <v>152</v>
      </c>
      <c r="F42" s="293">
        <v>0.229</v>
      </c>
      <c r="G42" s="294">
        <v>18.3</v>
      </c>
      <c r="H42" s="293">
        <v>0.229</v>
      </c>
      <c r="I42" s="294">
        <v>10.5</v>
      </c>
      <c r="J42" s="293">
        <v>0.123</v>
      </c>
      <c r="K42" s="294">
        <v>7.5</v>
      </c>
      <c r="L42" s="295"/>
      <c r="M42" s="296"/>
    </row>
    <row r="43" spans="1:19" ht="11.25">
      <c r="A43" s="292">
        <v>39</v>
      </c>
      <c r="B43" s="293">
        <v>0.453</v>
      </c>
      <c r="C43" s="294">
        <v>72.4</v>
      </c>
      <c r="D43" s="293">
        <v>0.083</v>
      </c>
      <c r="E43" s="294">
        <v>15.5</v>
      </c>
      <c r="F43" s="293">
        <v>0.228</v>
      </c>
      <c r="G43" s="294">
        <v>18.7</v>
      </c>
      <c r="H43" s="293">
        <v>0.228</v>
      </c>
      <c r="I43" s="294">
        <v>10.7</v>
      </c>
      <c r="J43" s="293">
        <v>0.122</v>
      </c>
      <c r="K43" s="294">
        <v>7.6</v>
      </c>
      <c r="L43" s="295"/>
      <c r="M43" s="296"/>
      <c r="N43" s="306"/>
      <c r="O43" s="306"/>
      <c r="P43" s="306"/>
      <c r="Q43" s="306"/>
      <c r="R43" s="306"/>
      <c r="S43" s="307"/>
    </row>
    <row r="44" spans="1:13" ht="11.25">
      <c r="A44" s="292">
        <v>40</v>
      </c>
      <c r="B44" s="293">
        <v>0.451</v>
      </c>
      <c r="C44" s="294">
        <v>74</v>
      </c>
      <c r="D44" s="293">
        <v>0.082</v>
      </c>
      <c r="E44" s="294">
        <v>15.8</v>
      </c>
      <c r="F44" s="293">
        <v>0.226</v>
      </c>
      <c r="G44" s="294">
        <v>19</v>
      </c>
      <c r="H44" s="293">
        <v>0.226</v>
      </c>
      <c r="I44" s="294">
        <v>10.9</v>
      </c>
      <c r="J44" s="293">
        <v>0.121</v>
      </c>
      <c r="K44" s="294">
        <v>7.8</v>
      </c>
      <c r="L44" s="295"/>
      <c r="M44" s="296"/>
    </row>
    <row r="45" spans="1:13" ht="11.25">
      <c r="A45" s="292">
        <v>41</v>
      </c>
      <c r="B45" s="293">
        <v>0.449</v>
      </c>
      <c r="C45" s="294">
        <v>75.5</v>
      </c>
      <c r="D45" s="293">
        <v>0.081</v>
      </c>
      <c r="E45" s="294">
        <v>15.9</v>
      </c>
      <c r="F45" s="293">
        <v>0.225</v>
      </c>
      <c r="G45" s="294">
        <v>19.4</v>
      </c>
      <c r="H45" s="293">
        <v>0.225</v>
      </c>
      <c r="I45" s="294">
        <v>11.1</v>
      </c>
      <c r="J45" s="293">
        <v>0.12</v>
      </c>
      <c r="K45" s="294">
        <v>7.9</v>
      </c>
      <c r="L45" s="295"/>
      <c r="M45" s="296"/>
    </row>
    <row r="46" spans="1:13" ht="11.25">
      <c r="A46" s="292">
        <v>42</v>
      </c>
      <c r="B46" s="293">
        <v>0.447</v>
      </c>
      <c r="C46" s="294">
        <v>77</v>
      </c>
      <c r="D46" s="293">
        <v>0.08</v>
      </c>
      <c r="E46" s="294" t="s">
        <v>257</v>
      </c>
      <c r="F46" s="293">
        <v>0.224</v>
      </c>
      <c r="G46" s="294">
        <v>19.8</v>
      </c>
      <c r="H46" s="293">
        <v>0.224</v>
      </c>
      <c r="I46" s="294">
        <v>11.3</v>
      </c>
      <c r="J46" s="293">
        <v>0.119</v>
      </c>
      <c r="K46" s="294">
        <v>8</v>
      </c>
      <c r="L46" s="295"/>
      <c r="M46" s="296"/>
    </row>
    <row r="47" spans="1:13" ht="11.25">
      <c r="A47" s="292">
        <v>43</v>
      </c>
      <c r="B47" s="293">
        <v>0.445</v>
      </c>
      <c r="C47" s="294">
        <v>78.5</v>
      </c>
      <c r="D47" s="293">
        <v>0.079</v>
      </c>
      <c r="E47" s="294">
        <v>16.3</v>
      </c>
      <c r="F47" s="293">
        <v>0.222</v>
      </c>
      <c r="G47" s="294">
        <v>20.1</v>
      </c>
      <c r="H47" s="293">
        <v>0.222</v>
      </c>
      <c r="I47" s="294">
        <v>11.5</v>
      </c>
      <c r="J47" s="293">
        <v>0.117</v>
      </c>
      <c r="K47" s="294">
        <v>8.1</v>
      </c>
      <c r="L47" s="295"/>
      <c r="M47" s="296"/>
    </row>
    <row r="48" spans="1:13" ht="11.25">
      <c r="A48" s="292">
        <v>44</v>
      </c>
      <c r="B48" s="293">
        <v>0.443</v>
      </c>
      <c r="C48" s="294">
        <v>79.9</v>
      </c>
      <c r="D48" s="293">
        <v>0.078</v>
      </c>
      <c r="E48" s="294">
        <v>16.5</v>
      </c>
      <c r="F48" s="293">
        <v>0.221</v>
      </c>
      <c r="G48" s="294">
        <v>20.5</v>
      </c>
      <c r="H48" s="293">
        <v>0.221</v>
      </c>
      <c r="I48" s="294">
        <v>11.7</v>
      </c>
      <c r="J48" s="293">
        <v>0.116</v>
      </c>
      <c r="K48" s="294" t="s">
        <v>258</v>
      </c>
      <c r="L48" s="295"/>
      <c r="M48" s="296"/>
    </row>
    <row r="49" spans="1:13" ht="11.25">
      <c r="A49" s="292">
        <v>45</v>
      </c>
      <c r="B49" s="293">
        <v>0.441</v>
      </c>
      <c r="C49" s="294">
        <v>81.4</v>
      </c>
      <c r="D49" s="293">
        <v>0.077</v>
      </c>
      <c r="E49" s="294">
        <v>168</v>
      </c>
      <c r="F49" s="293">
        <v>0.22</v>
      </c>
      <c r="G49" s="294">
        <v>20.8</v>
      </c>
      <c r="H49" s="293">
        <v>0.22</v>
      </c>
      <c r="I49" s="294">
        <v>11.9</v>
      </c>
      <c r="J49" s="293">
        <v>0.115</v>
      </c>
      <c r="K49" s="294">
        <v>8.3</v>
      </c>
      <c r="L49" s="295"/>
      <c r="M49" s="296"/>
    </row>
    <row r="50" spans="1:13" ht="11.25">
      <c r="A50" s="292">
        <v>46</v>
      </c>
      <c r="B50" s="293">
        <v>0.439</v>
      </c>
      <c r="C50" s="294">
        <v>82.9</v>
      </c>
      <c r="D50" s="293">
        <v>0.076</v>
      </c>
      <c r="E50" s="294">
        <v>16.9</v>
      </c>
      <c r="F50" s="293">
        <v>0.218</v>
      </c>
      <c r="G50" s="294">
        <v>21.1</v>
      </c>
      <c r="H50" s="293">
        <v>0.218</v>
      </c>
      <c r="I50" s="294">
        <v>12.1</v>
      </c>
      <c r="J50" s="293">
        <v>0.114</v>
      </c>
      <c r="K50" s="294">
        <v>8.4</v>
      </c>
      <c r="L50" s="295"/>
      <c r="M50" s="296"/>
    </row>
    <row r="51" spans="1:13" ht="11.25">
      <c r="A51" s="292">
        <v>47</v>
      </c>
      <c r="B51" s="293">
        <v>0.438</v>
      </c>
      <c r="C51" s="294">
        <v>84.4</v>
      </c>
      <c r="D51" s="293">
        <v>0.076</v>
      </c>
      <c r="E51" s="294">
        <v>17.1</v>
      </c>
      <c r="F51" s="293">
        <v>0.216</v>
      </c>
      <c r="G51" s="294">
        <v>21.4</v>
      </c>
      <c r="H51" s="293">
        <v>0.216</v>
      </c>
      <c r="I51" s="294">
        <v>12.3</v>
      </c>
      <c r="J51" s="293">
        <v>0.113</v>
      </c>
      <c r="K51" s="294">
        <v>8.5</v>
      </c>
      <c r="L51" s="295"/>
      <c r="M51" s="296"/>
    </row>
    <row r="52" spans="1:13" ht="11.25">
      <c r="A52" s="292">
        <v>48</v>
      </c>
      <c r="B52" s="293">
        <v>0.436</v>
      </c>
      <c r="C52" s="294">
        <v>85.8</v>
      </c>
      <c r="D52" s="293">
        <v>0.075</v>
      </c>
      <c r="E52" s="294">
        <v>17.3</v>
      </c>
      <c r="F52" s="293">
        <v>0.215</v>
      </c>
      <c r="G52" s="294">
        <v>21.7</v>
      </c>
      <c r="H52" s="293">
        <v>0.215</v>
      </c>
      <c r="I52" s="294">
        <v>12.4</v>
      </c>
      <c r="J52" s="293">
        <v>0.112</v>
      </c>
      <c r="K52" s="294">
        <v>8.6</v>
      </c>
      <c r="L52" s="295"/>
      <c r="M52" s="296"/>
    </row>
    <row r="53" spans="1:13" ht="11.25">
      <c r="A53" s="292">
        <v>49</v>
      </c>
      <c r="B53" s="293">
        <v>0.436</v>
      </c>
      <c r="C53" s="294">
        <v>87.3</v>
      </c>
      <c r="D53" s="293">
        <v>0.075</v>
      </c>
      <c r="E53" s="294">
        <v>17.5</v>
      </c>
      <c r="F53" s="293">
        <v>0.213</v>
      </c>
      <c r="G53" s="294">
        <v>21.9</v>
      </c>
      <c r="H53" s="293">
        <v>0.213</v>
      </c>
      <c r="I53" s="294">
        <v>12.6</v>
      </c>
      <c r="J53" s="293">
        <v>0.111</v>
      </c>
      <c r="K53" s="294">
        <v>8.7</v>
      </c>
      <c r="L53" s="295"/>
      <c r="M53" s="296"/>
    </row>
    <row r="54" spans="1:13" ht="11.25">
      <c r="A54" s="292">
        <v>50</v>
      </c>
      <c r="B54" s="293">
        <v>0.433</v>
      </c>
      <c r="C54" s="294">
        <v>88.8</v>
      </c>
      <c r="D54" s="293">
        <v>0.074</v>
      </c>
      <c r="E54" s="294">
        <v>17.8</v>
      </c>
      <c r="F54" s="293">
        <v>0.211</v>
      </c>
      <c r="G54" s="294">
        <v>22.2</v>
      </c>
      <c r="H54" s="293">
        <v>0.211</v>
      </c>
      <c r="I54" s="294">
        <v>12.7</v>
      </c>
      <c r="J54" s="293">
        <v>0.11</v>
      </c>
      <c r="K54" s="294">
        <v>8.8</v>
      </c>
      <c r="L54" s="295"/>
      <c r="M54" s="296"/>
    </row>
    <row r="55" spans="1:13" ht="11.25">
      <c r="A55" s="292">
        <v>51</v>
      </c>
      <c r="B55" s="293">
        <v>0.432</v>
      </c>
      <c r="C55" s="294">
        <v>90.3</v>
      </c>
      <c r="D55" s="293">
        <v>0.074</v>
      </c>
      <c r="E55" s="294">
        <v>18</v>
      </c>
      <c r="F55" s="293">
        <v>0.21</v>
      </c>
      <c r="G55" s="294">
        <v>22.5</v>
      </c>
      <c r="H55" s="293">
        <v>0.21</v>
      </c>
      <c r="I55" s="294">
        <v>0</v>
      </c>
      <c r="J55" s="293">
        <v>0.109</v>
      </c>
      <c r="K55" s="294">
        <v>39</v>
      </c>
      <c r="L55" s="295"/>
      <c r="M55" s="296"/>
    </row>
    <row r="56" spans="1:13" ht="11.25">
      <c r="A56" s="292">
        <v>52</v>
      </c>
      <c r="B56" s="293">
        <v>0.431</v>
      </c>
      <c r="C56" s="294">
        <v>91.8</v>
      </c>
      <c r="D56" s="293">
        <v>0.073</v>
      </c>
      <c r="E56" s="294">
        <v>18.3</v>
      </c>
      <c r="F56" s="293">
        <v>0.209</v>
      </c>
      <c r="G56" s="294">
        <v>22.9</v>
      </c>
      <c r="H56" s="293">
        <v>0.209</v>
      </c>
      <c r="I56" s="294">
        <v>0</v>
      </c>
      <c r="J56" s="293">
        <v>0.108</v>
      </c>
      <c r="K56" s="294">
        <v>9</v>
      </c>
      <c r="L56" s="295"/>
      <c r="M56" s="296"/>
    </row>
    <row r="57" spans="1:13" ht="11.25">
      <c r="A57" s="292">
        <v>53</v>
      </c>
      <c r="B57" s="293">
        <v>0.429</v>
      </c>
      <c r="C57" s="294">
        <v>93.3</v>
      </c>
      <c r="D57" s="293">
        <v>0.073</v>
      </c>
      <c r="E57" s="294" t="s">
        <v>259</v>
      </c>
      <c r="F57" s="293">
        <v>0.208</v>
      </c>
      <c r="G57" s="294">
        <v>23.2</v>
      </c>
      <c r="H57" s="293">
        <v>0.208</v>
      </c>
      <c r="I57" s="294">
        <v>0</v>
      </c>
      <c r="J57" s="293">
        <v>0.107</v>
      </c>
      <c r="K57" s="294">
        <v>9.1</v>
      </c>
      <c r="L57" s="295"/>
      <c r="M57" s="296"/>
    </row>
    <row r="58" spans="1:13" ht="11.25">
      <c r="A58" s="292">
        <v>54</v>
      </c>
      <c r="B58" s="293">
        <v>0.428</v>
      </c>
      <c r="C58" s="294">
        <v>94.8</v>
      </c>
      <c r="D58" s="293">
        <v>0.072</v>
      </c>
      <c r="E58" s="294">
        <v>18.8</v>
      </c>
      <c r="F58" s="293">
        <v>0.207</v>
      </c>
      <c r="G58" s="294">
        <v>23.5</v>
      </c>
      <c r="H58" s="293">
        <v>0.207</v>
      </c>
      <c r="I58" s="294">
        <v>0</v>
      </c>
      <c r="J58" s="293">
        <v>0.106</v>
      </c>
      <c r="K58" s="294">
        <v>9.2</v>
      </c>
      <c r="L58" s="295"/>
      <c r="M58" s="296"/>
    </row>
    <row r="59" spans="1:13" ht="11.25">
      <c r="A59" s="292">
        <v>55</v>
      </c>
      <c r="B59" s="293">
        <v>0.427</v>
      </c>
      <c r="C59" s="294">
        <v>96.3</v>
      </c>
      <c r="D59" s="293">
        <v>0.072</v>
      </c>
      <c r="E59" s="294">
        <v>19</v>
      </c>
      <c r="F59" s="293">
        <v>0.206</v>
      </c>
      <c r="G59" s="294">
        <v>23.8</v>
      </c>
      <c r="H59" s="293">
        <v>0.206</v>
      </c>
      <c r="I59" s="294">
        <v>0</v>
      </c>
      <c r="J59" s="293">
        <v>0.105</v>
      </c>
      <c r="K59" s="294">
        <v>9.3</v>
      </c>
      <c r="L59" s="295"/>
      <c r="M59" s="296"/>
    </row>
    <row r="60" spans="1:13" ht="11.25">
      <c r="A60" s="292">
        <v>56</v>
      </c>
      <c r="B60" s="293">
        <v>0.426</v>
      </c>
      <c r="C60" s="294">
        <v>97.8</v>
      </c>
      <c r="D60" s="293">
        <v>0.071</v>
      </c>
      <c r="E60" s="294">
        <v>19.2</v>
      </c>
      <c r="F60" s="293">
        <v>0.205</v>
      </c>
      <c r="G60" s="294">
        <v>24.2</v>
      </c>
      <c r="H60" s="293">
        <v>0.205</v>
      </c>
      <c r="I60" s="294">
        <v>0</v>
      </c>
      <c r="J60" s="293">
        <v>0.104</v>
      </c>
      <c r="K60" s="294">
        <v>9.4</v>
      </c>
      <c r="L60" s="295"/>
      <c r="M60" s="296"/>
    </row>
    <row r="61" spans="1:13" ht="11.25">
      <c r="A61" s="292">
        <v>57</v>
      </c>
      <c r="B61" s="293">
        <v>0.425</v>
      </c>
      <c r="C61" s="294">
        <v>99.2</v>
      </c>
      <c r="D61" s="293">
        <v>0.071</v>
      </c>
      <c r="E61" s="294">
        <v>19.4</v>
      </c>
      <c r="F61" s="293">
        <v>0.204</v>
      </c>
      <c r="G61" s="294">
        <v>24.5</v>
      </c>
      <c r="H61" s="293">
        <v>0.204</v>
      </c>
      <c r="I61" s="294">
        <v>0</v>
      </c>
      <c r="J61" s="293">
        <v>0.104</v>
      </c>
      <c r="K61" s="294">
        <v>9.5</v>
      </c>
      <c r="L61" s="295"/>
      <c r="M61" s="296"/>
    </row>
    <row r="62" spans="1:13" ht="11.25">
      <c r="A62" s="292">
        <v>58</v>
      </c>
      <c r="B62" s="293">
        <v>0.423</v>
      </c>
      <c r="C62" s="294">
        <v>100.7</v>
      </c>
      <c r="D62" s="293">
        <v>0.07</v>
      </c>
      <c r="E62" s="294">
        <v>19.5</v>
      </c>
      <c r="F62" s="293">
        <v>0.204</v>
      </c>
      <c r="G62" s="294">
        <v>24.8</v>
      </c>
      <c r="H62" s="293">
        <v>0.204</v>
      </c>
      <c r="I62" s="294">
        <v>0</v>
      </c>
      <c r="J62" s="293">
        <v>0.103</v>
      </c>
      <c r="K62" s="294">
        <v>9.6</v>
      </c>
      <c r="L62" s="295"/>
      <c r="M62" s="296"/>
    </row>
    <row r="63" spans="1:13" ht="11.25">
      <c r="A63" s="292">
        <v>59</v>
      </c>
      <c r="B63" s="293">
        <v>0.422</v>
      </c>
      <c r="C63" s="294">
        <v>102.1</v>
      </c>
      <c r="D63" s="293">
        <v>0.07</v>
      </c>
      <c r="E63" s="294">
        <v>19.7</v>
      </c>
      <c r="F63" s="293">
        <v>0.203</v>
      </c>
      <c r="G63" s="294">
        <v>25.2</v>
      </c>
      <c r="H63" s="293">
        <v>0.203</v>
      </c>
      <c r="I63" s="294">
        <v>0</v>
      </c>
      <c r="J63" s="293">
        <v>0.103</v>
      </c>
      <c r="K63" s="294">
        <v>9.7</v>
      </c>
      <c r="L63" s="295"/>
      <c r="M63" s="296"/>
    </row>
    <row r="64" spans="1:13" ht="11.25">
      <c r="A64" s="292">
        <v>60</v>
      </c>
      <c r="B64" s="293">
        <v>0.421</v>
      </c>
      <c r="C64" s="294">
        <v>103.6</v>
      </c>
      <c r="D64" s="293">
        <v>0.069</v>
      </c>
      <c r="E64" s="294">
        <v>20</v>
      </c>
      <c r="F64" s="293">
        <v>0.202</v>
      </c>
      <c r="G64" s="294">
        <v>25.5</v>
      </c>
      <c r="H64" s="293">
        <v>0.202</v>
      </c>
      <c r="I64" s="294">
        <v>0</v>
      </c>
      <c r="J64" s="293">
        <v>0.102</v>
      </c>
      <c r="K64" s="294">
        <v>10</v>
      </c>
      <c r="L64" s="295"/>
      <c r="M64" s="296"/>
    </row>
    <row r="65" spans="1:13" ht="11.25">
      <c r="A65" s="292">
        <v>61</v>
      </c>
      <c r="B65" s="293">
        <v>0.42</v>
      </c>
      <c r="C65" s="294">
        <v>105.1</v>
      </c>
      <c r="D65" s="293">
        <v>0.068</v>
      </c>
      <c r="E65" s="294">
        <v>19.9</v>
      </c>
      <c r="F65" s="293">
        <v>0.201</v>
      </c>
      <c r="G65" s="294">
        <v>25.8</v>
      </c>
      <c r="H65" s="293">
        <v>201</v>
      </c>
      <c r="I65" s="294">
        <v>0</v>
      </c>
      <c r="J65" s="293">
        <v>0.102</v>
      </c>
      <c r="K65" s="294">
        <v>9.9</v>
      </c>
      <c r="L65" s="295"/>
      <c r="M65" s="296"/>
    </row>
    <row r="66" spans="1:13" ht="11.25">
      <c r="A66" s="292">
        <v>62</v>
      </c>
      <c r="B66" s="293">
        <v>0.419</v>
      </c>
      <c r="C66" s="294" t="s">
        <v>260</v>
      </c>
      <c r="D66" s="293">
        <v>0.067</v>
      </c>
      <c r="E66" s="294">
        <v>19.8</v>
      </c>
      <c r="F66" s="293">
        <v>0.2</v>
      </c>
      <c r="G66" s="294">
        <v>26</v>
      </c>
      <c r="H66" s="293">
        <v>0.2</v>
      </c>
      <c r="I66" s="294">
        <v>0</v>
      </c>
      <c r="J66" s="293">
        <v>0.101</v>
      </c>
      <c r="K66" s="294">
        <v>10</v>
      </c>
      <c r="L66" s="295"/>
      <c r="M66" s="296"/>
    </row>
    <row r="67" spans="1:13" ht="11.25">
      <c r="A67" s="292">
        <v>63</v>
      </c>
      <c r="B67" s="293">
        <v>0.419</v>
      </c>
      <c r="C67" s="294">
        <v>108.1</v>
      </c>
      <c r="D67" s="293">
        <v>0.065</v>
      </c>
      <c r="E67" s="294">
        <v>19.8</v>
      </c>
      <c r="F67" s="293">
        <v>0.198</v>
      </c>
      <c r="G67" s="294">
        <v>26.3</v>
      </c>
      <c r="H67" s="293">
        <v>0.198</v>
      </c>
      <c r="I67" s="294">
        <v>0</v>
      </c>
      <c r="J67" s="293">
        <v>0.101</v>
      </c>
      <c r="K67" s="294">
        <v>10.2</v>
      </c>
      <c r="L67" s="295"/>
      <c r="M67" s="296"/>
    </row>
    <row r="68" spans="1:13" ht="11.25">
      <c r="A68" s="292">
        <v>64</v>
      </c>
      <c r="B68" s="293">
        <v>0.418</v>
      </c>
      <c r="C68" s="294">
        <v>109.6</v>
      </c>
      <c r="D68" s="293">
        <v>0.064</v>
      </c>
      <c r="E68" s="294">
        <v>19.7</v>
      </c>
      <c r="F68" s="293">
        <v>0.197</v>
      </c>
      <c r="G68" s="294">
        <v>26.6</v>
      </c>
      <c r="H68" s="293">
        <v>0.197</v>
      </c>
      <c r="I68" s="294">
        <v>0</v>
      </c>
      <c r="J68" s="293">
        <v>0.1</v>
      </c>
      <c r="K68" s="294">
        <v>10.3</v>
      </c>
      <c r="L68" s="295"/>
      <c r="M68" s="296"/>
    </row>
    <row r="69" spans="1:13" ht="11.25">
      <c r="A69" s="292">
        <v>65</v>
      </c>
      <c r="B69" s="293">
        <v>0.417</v>
      </c>
      <c r="C69" s="294">
        <v>111.1</v>
      </c>
      <c r="D69" s="293">
        <v>0.063</v>
      </c>
      <c r="E69" s="294">
        <v>20.9</v>
      </c>
      <c r="F69" s="293">
        <v>0.196</v>
      </c>
      <c r="G69" s="294">
        <v>26.8</v>
      </c>
      <c r="H69" s="293">
        <v>0.196</v>
      </c>
      <c r="I69" s="294">
        <v>0</v>
      </c>
      <c r="J69" s="293">
        <v>0.1</v>
      </c>
      <c r="K69" s="294">
        <v>10.5</v>
      </c>
      <c r="L69" s="295"/>
      <c r="M69" s="296"/>
    </row>
    <row r="70" spans="1:13" ht="11.25">
      <c r="A70" s="292">
        <v>66</v>
      </c>
      <c r="B70" s="293">
        <v>0.416</v>
      </c>
      <c r="C70" s="294">
        <v>112.6</v>
      </c>
      <c r="D70" s="293">
        <v>0.083</v>
      </c>
      <c r="E70" s="294">
        <v>20.1</v>
      </c>
      <c r="F70" s="293">
        <v>0.195</v>
      </c>
      <c r="G70" s="294">
        <v>27.1</v>
      </c>
      <c r="H70" s="293">
        <v>0.195</v>
      </c>
      <c r="I70" s="294">
        <v>0</v>
      </c>
      <c r="J70" s="293">
        <v>0.1</v>
      </c>
      <c r="K70" s="294">
        <v>10.5</v>
      </c>
      <c r="L70" s="295"/>
      <c r="M70" s="296"/>
    </row>
    <row r="71" spans="1:13" ht="11.25">
      <c r="A71" s="292">
        <v>67</v>
      </c>
      <c r="B71" s="293">
        <v>0.415</v>
      </c>
      <c r="C71" s="294">
        <v>114.1</v>
      </c>
      <c r="D71" s="293">
        <v>0.064</v>
      </c>
      <c r="E71" s="294">
        <v>20.5</v>
      </c>
      <c r="F71" s="293">
        <v>0.195</v>
      </c>
      <c r="G71" s="294">
        <v>27.5</v>
      </c>
      <c r="H71" s="293">
        <v>0.195</v>
      </c>
      <c r="I71" s="294">
        <v>0</v>
      </c>
      <c r="J71" s="293">
        <v>99</v>
      </c>
      <c r="K71" s="294">
        <v>10.6</v>
      </c>
      <c r="L71" s="295"/>
      <c r="M71" s="296"/>
    </row>
    <row r="72" spans="1:13" ht="11.25">
      <c r="A72" s="292">
        <v>68</v>
      </c>
      <c r="B72" s="293">
        <v>0.415</v>
      </c>
      <c r="C72" s="294">
        <v>115.6</v>
      </c>
      <c r="D72" s="293">
        <v>0.064</v>
      </c>
      <c r="E72" s="294">
        <v>21</v>
      </c>
      <c r="F72" s="293">
        <v>0.194</v>
      </c>
      <c r="G72" s="294">
        <v>27.8</v>
      </c>
      <c r="H72" s="293">
        <v>0.194</v>
      </c>
      <c r="I72" s="294">
        <v>0</v>
      </c>
      <c r="J72" s="293">
        <v>0.099</v>
      </c>
      <c r="K72" s="294">
        <v>10.7</v>
      </c>
      <c r="L72" s="295"/>
      <c r="M72" s="296"/>
    </row>
    <row r="73" spans="1:13" ht="11.25">
      <c r="A73" s="292">
        <v>69</v>
      </c>
      <c r="B73" s="293">
        <v>0.414</v>
      </c>
      <c r="C73" s="294">
        <v>117.1</v>
      </c>
      <c r="D73" s="293">
        <v>0.065</v>
      </c>
      <c r="E73" s="294">
        <v>21.4</v>
      </c>
      <c r="F73" s="293">
        <v>0.194</v>
      </c>
      <c r="G73" s="294">
        <v>28.1</v>
      </c>
      <c r="H73" s="293">
        <v>0.194</v>
      </c>
      <c r="I73" s="294">
        <v>0</v>
      </c>
      <c r="J73" s="293">
        <v>0.098</v>
      </c>
      <c r="K73" s="294">
        <v>10.9</v>
      </c>
      <c r="L73" s="295"/>
      <c r="M73" s="296"/>
    </row>
    <row r="74" spans="1:13" ht="11.25">
      <c r="A74" s="292" t="s">
        <v>261</v>
      </c>
      <c r="B74" s="293">
        <v>0.413</v>
      </c>
      <c r="C74" s="294">
        <v>118.5</v>
      </c>
      <c r="D74" s="293">
        <v>0.065</v>
      </c>
      <c r="E74" s="294">
        <v>22</v>
      </c>
      <c r="F74" s="293">
        <v>0.193</v>
      </c>
      <c r="G74" s="294">
        <v>28.4</v>
      </c>
      <c r="H74" s="293">
        <v>0.193</v>
      </c>
      <c r="I74" s="294">
        <v>0</v>
      </c>
      <c r="J74" s="293">
        <v>0.098</v>
      </c>
      <c r="K74" s="294">
        <v>11</v>
      </c>
      <c r="L74" s="295"/>
      <c r="M74" s="296"/>
    </row>
    <row r="75" spans="1:13" ht="11.25">
      <c r="A75" s="292">
        <v>71</v>
      </c>
      <c r="B75" s="293">
        <v>0.412</v>
      </c>
      <c r="C75" s="294">
        <v>120</v>
      </c>
      <c r="D75" s="293">
        <v>0.064</v>
      </c>
      <c r="E75" s="294">
        <v>21.9</v>
      </c>
      <c r="F75" s="293">
        <v>0.192</v>
      </c>
      <c r="G75" s="294">
        <v>28.7</v>
      </c>
      <c r="H75" s="293">
        <v>0.192</v>
      </c>
      <c r="I75" s="294">
        <v>0</v>
      </c>
      <c r="J75" s="293">
        <v>0.097</v>
      </c>
      <c r="K75" s="294">
        <v>11.1</v>
      </c>
      <c r="L75" s="295"/>
      <c r="M75" s="296"/>
    </row>
    <row r="76" spans="1:13" ht="11.25">
      <c r="A76" s="292">
        <v>72</v>
      </c>
      <c r="B76" s="293">
        <v>0.411</v>
      </c>
      <c r="C76" s="294">
        <v>121.4</v>
      </c>
      <c r="D76" s="293">
        <v>0.063</v>
      </c>
      <c r="E76" s="294">
        <v>21.9</v>
      </c>
      <c r="F76" s="293">
        <v>0.192</v>
      </c>
      <c r="G76" s="294">
        <v>29.1</v>
      </c>
      <c r="H76" s="293">
        <v>0.192</v>
      </c>
      <c r="I76" s="294">
        <v>0</v>
      </c>
      <c r="J76" s="293">
        <v>0.097</v>
      </c>
      <c r="K76" s="294">
        <v>11.2</v>
      </c>
      <c r="L76" s="295"/>
      <c r="M76" s="296"/>
    </row>
    <row r="77" spans="1:13" ht="11.25">
      <c r="A77" s="292">
        <v>73</v>
      </c>
      <c r="B77" s="293">
        <v>0.411</v>
      </c>
      <c r="C77" s="294">
        <v>122.9</v>
      </c>
      <c r="D77" s="293">
        <v>0.063</v>
      </c>
      <c r="E77" s="294">
        <v>21.9</v>
      </c>
      <c r="F77" s="293">
        <v>0.191</v>
      </c>
      <c r="G77" s="294">
        <v>29.4</v>
      </c>
      <c r="H77" s="293">
        <v>0.191</v>
      </c>
      <c r="I77" s="294">
        <v>0</v>
      </c>
      <c r="J77" s="293">
        <v>0.096</v>
      </c>
      <c r="K77" s="294">
        <v>11.2</v>
      </c>
      <c r="L77" s="295"/>
      <c r="M77" s="296"/>
    </row>
    <row r="78" spans="1:13" ht="11.25">
      <c r="A78" s="292">
        <v>74</v>
      </c>
      <c r="B78" s="293">
        <v>0.41</v>
      </c>
      <c r="C78" s="294">
        <v>124.3</v>
      </c>
      <c r="D78" s="293">
        <v>0.062</v>
      </c>
      <c r="E78" s="294">
        <v>22</v>
      </c>
      <c r="F78" s="293">
        <v>0.191</v>
      </c>
      <c r="G78" s="294">
        <v>29.7</v>
      </c>
      <c r="H78" s="293">
        <v>0.191</v>
      </c>
      <c r="I78" s="294">
        <v>0</v>
      </c>
      <c r="J78" s="293">
        <v>0.096</v>
      </c>
      <c r="K78" s="294">
        <v>11.3</v>
      </c>
      <c r="L78" s="295"/>
      <c r="M78" s="296"/>
    </row>
    <row r="79" spans="1:13" ht="11.25">
      <c r="A79" s="292">
        <v>75</v>
      </c>
      <c r="B79" s="293">
        <v>0.409</v>
      </c>
      <c r="C79" s="294">
        <v>125.8</v>
      </c>
      <c r="D79" s="293">
        <v>0.061</v>
      </c>
      <c r="E79" s="294">
        <v>23.4</v>
      </c>
      <c r="F79" s="293">
        <v>0.19</v>
      </c>
      <c r="G79" s="294">
        <v>30</v>
      </c>
      <c r="H79" s="293">
        <v>0.19</v>
      </c>
      <c r="I79" s="294">
        <v>0</v>
      </c>
      <c r="J79" s="293">
        <v>0.095</v>
      </c>
      <c r="K79" s="294">
        <v>11.5</v>
      </c>
      <c r="L79" s="295"/>
      <c r="M79" s="296"/>
    </row>
    <row r="80" spans="1:13" ht="11.25">
      <c r="A80" s="292">
        <v>76</v>
      </c>
      <c r="B80" s="293">
        <v>0.408</v>
      </c>
      <c r="C80" s="294">
        <v>127.3</v>
      </c>
      <c r="D80" s="293">
        <v>61</v>
      </c>
      <c r="E80" s="294">
        <v>22.3</v>
      </c>
      <c r="F80" s="293">
        <v>0.189</v>
      </c>
      <c r="G80" s="294">
        <v>30.2</v>
      </c>
      <c r="H80" s="293">
        <v>0.189</v>
      </c>
      <c r="I80" s="294">
        <v>0</v>
      </c>
      <c r="J80" s="293">
        <v>0.095</v>
      </c>
      <c r="K80" s="294">
        <v>11.5</v>
      </c>
      <c r="L80" s="295"/>
      <c r="M80" s="296"/>
    </row>
    <row r="81" spans="1:13" ht="11.25">
      <c r="A81" s="292">
        <v>77</v>
      </c>
      <c r="B81" s="293">
        <v>0.406</v>
      </c>
      <c r="C81" s="294" t="s">
        <v>262</v>
      </c>
      <c r="D81" s="293">
        <v>0.061</v>
      </c>
      <c r="E81" s="294">
        <v>22.7</v>
      </c>
      <c r="F81" s="293">
        <v>0.188</v>
      </c>
      <c r="G81" s="294">
        <v>30.4</v>
      </c>
      <c r="H81" s="293">
        <v>0.188</v>
      </c>
      <c r="I81" s="294">
        <v>0</v>
      </c>
      <c r="J81" s="293">
        <v>0.094</v>
      </c>
      <c r="K81" s="294">
        <v>11.6</v>
      </c>
      <c r="L81" s="295"/>
      <c r="M81" s="296"/>
    </row>
    <row r="82" spans="1:13" ht="11.25">
      <c r="A82" s="292">
        <v>78</v>
      </c>
      <c r="B82" s="293">
        <v>0.407</v>
      </c>
      <c r="C82" s="294">
        <v>130.2</v>
      </c>
      <c r="D82" s="293">
        <v>0.062</v>
      </c>
      <c r="E82" s="294">
        <v>23.1</v>
      </c>
      <c r="F82" s="293">
        <v>0.187</v>
      </c>
      <c r="G82" s="294">
        <v>30.7</v>
      </c>
      <c r="H82" s="293">
        <v>0.187</v>
      </c>
      <c r="I82" s="294">
        <v>0</v>
      </c>
      <c r="J82" s="293">
        <v>0.094</v>
      </c>
      <c r="K82" s="294">
        <v>11.7</v>
      </c>
      <c r="L82" s="295"/>
      <c r="M82" s="296"/>
    </row>
    <row r="83" spans="1:13" ht="11.25">
      <c r="A83" s="292">
        <v>79</v>
      </c>
      <c r="B83" s="293">
        <v>0.407</v>
      </c>
      <c r="C83" s="294">
        <v>131.7</v>
      </c>
      <c r="D83" s="293">
        <v>0.062</v>
      </c>
      <c r="E83" s="294">
        <v>23.4</v>
      </c>
      <c r="F83" s="293">
        <v>0.186</v>
      </c>
      <c r="G83" s="294">
        <v>30.9</v>
      </c>
      <c r="H83" s="293">
        <v>0.186</v>
      </c>
      <c r="I83" s="294">
        <v>0</v>
      </c>
      <c r="J83" s="293">
        <v>0.093</v>
      </c>
      <c r="K83" s="294">
        <v>11.8</v>
      </c>
      <c r="L83" s="295"/>
      <c r="M83" s="296"/>
    </row>
    <row r="84" spans="1:13" ht="11.25">
      <c r="A84" s="292">
        <v>30</v>
      </c>
      <c r="B84" s="293">
        <v>0.406</v>
      </c>
      <c r="C84" s="294">
        <v>133.2</v>
      </c>
      <c r="D84" s="293">
        <v>0.062</v>
      </c>
      <c r="E84" s="294">
        <v>23.8</v>
      </c>
      <c r="F84" s="293">
        <v>0.185</v>
      </c>
      <c r="G84" s="294">
        <v>31.1</v>
      </c>
      <c r="H84" s="293">
        <v>0.185</v>
      </c>
      <c r="I84" s="294">
        <v>0</v>
      </c>
      <c r="J84" s="293">
        <v>0.093</v>
      </c>
      <c r="K84" s="294">
        <v>12</v>
      </c>
      <c r="L84" s="295"/>
      <c r="M84" s="296"/>
    </row>
    <row r="85" spans="1:13" ht="11.25">
      <c r="A85" s="292">
        <v>81</v>
      </c>
      <c r="B85" s="293">
        <v>0.405</v>
      </c>
      <c r="C85" s="294">
        <v>134.6</v>
      </c>
      <c r="D85" s="293">
        <v>0.062</v>
      </c>
      <c r="E85" s="294">
        <v>24</v>
      </c>
      <c r="F85" s="293">
        <v>0.184</v>
      </c>
      <c r="G85" s="294">
        <v>31.4</v>
      </c>
      <c r="H85" s="293">
        <v>0.184</v>
      </c>
      <c r="I85" s="294">
        <v>0</v>
      </c>
      <c r="J85" s="293">
        <v>0.093</v>
      </c>
      <c r="K85" s="294">
        <v>12</v>
      </c>
      <c r="L85" s="295"/>
      <c r="M85" s="296"/>
    </row>
    <row r="86" spans="1:13" ht="11.25">
      <c r="A86" s="292">
        <v>82</v>
      </c>
      <c r="B86" s="293">
        <v>0.405</v>
      </c>
      <c r="C86" s="294">
        <v>136.1</v>
      </c>
      <c r="D86" s="293">
        <v>0.062</v>
      </c>
      <c r="E86" s="294">
        <v>24.2</v>
      </c>
      <c r="F86" s="293">
        <v>0.183</v>
      </c>
      <c r="G86" s="294">
        <v>31.6</v>
      </c>
      <c r="H86" s="293">
        <v>0.183</v>
      </c>
      <c r="I86" s="294">
        <v>0</v>
      </c>
      <c r="J86" s="293">
        <v>0.092</v>
      </c>
      <c r="K86" s="294">
        <v>12.1</v>
      </c>
      <c r="L86" s="295"/>
      <c r="M86" s="296"/>
    </row>
    <row r="87" spans="1:13" ht="11.25">
      <c r="A87" s="292">
        <v>83</v>
      </c>
      <c r="B87" s="293">
        <v>0.404</v>
      </c>
      <c r="C87" s="294">
        <v>137.5</v>
      </c>
      <c r="D87" s="293">
        <v>0.061</v>
      </c>
      <c r="E87" s="294">
        <v>24.5</v>
      </c>
      <c r="F87" s="293">
        <v>0.183</v>
      </c>
      <c r="G87" s="294">
        <v>31.9</v>
      </c>
      <c r="H87" s="293">
        <v>0.183</v>
      </c>
      <c r="I87" s="294">
        <v>0</v>
      </c>
      <c r="J87" s="293">
        <v>0.092</v>
      </c>
      <c r="K87" s="294">
        <v>12.2</v>
      </c>
      <c r="L87" s="295"/>
      <c r="M87" s="296"/>
    </row>
    <row r="88" spans="1:13" ht="11.25">
      <c r="A88" s="292">
        <v>84</v>
      </c>
      <c r="B88" s="293">
        <v>0.404</v>
      </c>
      <c r="C88" s="294">
        <v>139</v>
      </c>
      <c r="D88" s="293">
        <v>61</v>
      </c>
      <c r="E88" s="294">
        <v>24.7</v>
      </c>
      <c r="F88" s="293">
        <v>0.182</v>
      </c>
      <c r="G88" s="294">
        <v>32.1</v>
      </c>
      <c r="H88" s="293">
        <v>0.182</v>
      </c>
      <c r="I88" s="294">
        <v>0</v>
      </c>
      <c r="J88" s="293">
        <v>0.091</v>
      </c>
      <c r="K88" s="294">
        <v>12.3</v>
      </c>
      <c r="L88" s="295"/>
      <c r="M88" s="296"/>
    </row>
    <row r="89" spans="1:13" ht="11.25">
      <c r="A89" s="292">
        <v>85</v>
      </c>
      <c r="B89" s="293">
        <v>0.403</v>
      </c>
      <c r="C89" s="294">
        <v>140.4</v>
      </c>
      <c r="D89" s="293">
        <v>0.061</v>
      </c>
      <c r="E89" s="294">
        <v>24.9</v>
      </c>
      <c r="F89" s="293">
        <v>0.181</v>
      </c>
      <c r="G89" s="294">
        <v>32.4</v>
      </c>
      <c r="H89" s="293">
        <v>0.181</v>
      </c>
      <c r="I89" s="294">
        <v>0</v>
      </c>
      <c r="J89" s="293">
        <v>0.091</v>
      </c>
      <c r="K89" s="294">
        <v>12.5</v>
      </c>
      <c r="L89" s="295"/>
      <c r="M89" s="296"/>
    </row>
    <row r="90" spans="1:13" ht="11.25">
      <c r="A90" s="292">
        <v>86</v>
      </c>
      <c r="B90" s="293">
        <v>0.403</v>
      </c>
      <c r="C90" s="294">
        <v>142</v>
      </c>
      <c r="D90" s="293">
        <v>0.061</v>
      </c>
      <c r="E90" s="294">
        <v>25.1</v>
      </c>
      <c r="F90" s="293">
        <v>0.18</v>
      </c>
      <c r="G90" s="294">
        <v>32.6</v>
      </c>
      <c r="H90" s="293">
        <v>0.18</v>
      </c>
      <c r="I90" s="294">
        <v>0</v>
      </c>
      <c r="J90" s="293">
        <v>0.091</v>
      </c>
      <c r="K90" s="294">
        <v>12.5</v>
      </c>
      <c r="L90" s="295"/>
      <c r="M90" s="296"/>
    </row>
    <row r="91" spans="1:13" ht="11.25">
      <c r="A91" s="292">
        <v>87</v>
      </c>
      <c r="B91" s="293">
        <v>0.402</v>
      </c>
      <c r="C91" s="294">
        <v>143.5</v>
      </c>
      <c r="D91" s="293">
        <v>0.061</v>
      </c>
      <c r="E91" s="294">
        <v>25.3</v>
      </c>
      <c r="F91" s="293">
        <v>0.179</v>
      </c>
      <c r="G91" s="294">
        <v>32.8</v>
      </c>
      <c r="H91" s="293">
        <v>0.179</v>
      </c>
      <c r="I91" s="294">
        <v>0</v>
      </c>
      <c r="J91" s="293">
        <v>0.091</v>
      </c>
      <c r="K91" s="294">
        <v>12.6</v>
      </c>
      <c r="L91" s="295"/>
      <c r="M91" s="296"/>
    </row>
    <row r="92" spans="1:13" ht="11.25">
      <c r="A92" s="292">
        <v>88</v>
      </c>
      <c r="B92" s="293">
        <v>0.402</v>
      </c>
      <c r="C92" s="294">
        <v>145</v>
      </c>
      <c r="D92" s="293">
        <v>0.06</v>
      </c>
      <c r="E92" s="294">
        <v>25.5</v>
      </c>
      <c r="F92" s="293">
        <v>0.179</v>
      </c>
      <c r="G92" s="294">
        <v>33.1</v>
      </c>
      <c r="H92" s="293">
        <v>0.179</v>
      </c>
      <c r="I92" s="294">
        <v>0</v>
      </c>
      <c r="J92" s="293">
        <v>0.09</v>
      </c>
      <c r="K92" s="294">
        <v>12.7</v>
      </c>
      <c r="L92" s="295"/>
      <c r="M92" s="296"/>
    </row>
    <row r="93" spans="1:13" ht="11.25">
      <c r="A93" s="292">
        <v>89</v>
      </c>
      <c r="B93" s="293">
        <v>0.401</v>
      </c>
      <c r="C93" s="294">
        <v>146.5</v>
      </c>
      <c r="D93" s="293">
        <v>0.06</v>
      </c>
      <c r="E93" s="294">
        <v>25.7</v>
      </c>
      <c r="F93" s="293">
        <v>0.178</v>
      </c>
      <c r="G93" s="294">
        <v>33.3</v>
      </c>
      <c r="H93" s="293">
        <v>0.178</v>
      </c>
      <c r="I93" s="294">
        <v>0</v>
      </c>
      <c r="J93" s="293">
        <v>0.09</v>
      </c>
      <c r="K93" s="294">
        <v>12.8</v>
      </c>
      <c r="L93" s="295"/>
      <c r="M93" s="296"/>
    </row>
    <row r="94" spans="1:13" ht="11.25">
      <c r="A94" s="292">
        <v>90</v>
      </c>
      <c r="B94" s="293">
        <v>0.401</v>
      </c>
      <c r="C94" s="294">
        <v>148</v>
      </c>
      <c r="D94" s="293">
        <v>0.06</v>
      </c>
      <c r="E94" s="294">
        <v>25.9</v>
      </c>
      <c r="F94" s="293">
        <v>0.177</v>
      </c>
      <c r="G94" s="294">
        <v>33.5</v>
      </c>
      <c r="H94" s="293">
        <v>0.177</v>
      </c>
      <c r="I94" s="294">
        <v>0</v>
      </c>
      <c r="J94" s="293">
        <v>0.09</v>
      </c>
      <c r="K94" s="294">
        <v>13</v>
      </c>
      <c r="L94" s="295"/>
      <c r="M94" s="296"/>
    </row>
    <row r="95" spans="1:13" ht="11.25">
      <c r="A95" s="292">
        <v>91</v>
      </c>
      <c r="B95" s="293">
        <v>0.401</v>
      </c>
      <c r="C95" s="294">
        <v>149.5</v>
      </c>
      <c r="D95" s="293">
        <v>0.06</v>
      </c>
      <c r="E95" s="294">
        <v>26.1</v>
      </c>
      <c r="F95" s="293">
        <v>0.176</v>
      </c>
      <c r="G95" s="294">
        <v>33.8</v>
      </c>
      <c r="H95" s="293">
        <v>0.176</v>
      </c>
      <c r="I95" s="294">
        <v>0</v>
      </c>
      <c r="J95" s="293">
        <v>0.09</v>
      </c>
      <c r="K95" s="294">
        <v>13</v>
      </c>
      <c r="L95" s="295"/>
      <c r="M95" s="296"/>
    </row>
    <row r="96" spans="1:13" ht="11.25">
      <c r="A96" s="292">
        <v>92</v>
      </c>
      <c r="B96" s="293">
        <v>0.4</v>
      </c>
      <c r="C96" s="294">
        <v>151</v>
      </c>
      <c r="D96" s="293">
        <v>0.06</v>
      </c>
      <c r="E96" s="294">
        <v>26.3</v>
      </c>
      <c r="F96" s="293">
        <v>0.176</v>
      </c>
      <c r="G96" s="294">
        <v>34</v>
      </c>
      <c r="H96" s="293">
        <v>0.176</v>
      </c>
      <c r="I96" s="294">
        <v>0</v>
      </c>
      <c r="J96" s="293">
        <v>0.089</v>
      </c>
      <c r="K96" s="294">
        <v>13.1</v>
      </c>
      <c r="L96" s="295"/>
      <c r="M96" s="296"/>
    </row>
    <row r="97" spans="1:13" ht="11.25">
      <c r="A97" s="292">
        <v>93</v>
      </c>
      <c r="B97" s="293">
        <v>0.4</v>
      </c>
      <c r="C97" s="294">
        <v>152.4</v>
      </c>
      <c r="D97" s="293">
        <v>0.059</v>
      </c>
      <c r="E97" s="294">
        <v>26.5</v>
      </c>
      <c r="F97" s="293">
        <v>0.175</v>
      </c>
      <c r="G97" s="294">
        <v>34.3</v>
      </c>
      <c r="H97" s="293">
        <v>0.175</v>
      </c>
      <c r="I97" s="294">
        <v>0</v>
      </c>
      <c r="J97" s="293">
        <v>0.089</v>
      </c>
      <c r="K97" s="294">
        <v>13.2</v>
      </c>
      <c r="L97" s="295"/>
      <c r="M97" s="296"/>
    </row>
    <row r="98" spans="1:13" ht="11.25">
      <c r="A98" s="292">
        <v>94</v>
      </c>
      <c r="B98" s="293">
        <v>0.399</v>
      </c>
      <c r="C98" s="294">
        <v>153.9</v>
      </c>
      <c r="D98" s="293">
        <v>0.059</v>
      </c>
      <c r="E98" s="294">
        <v>26.7</v>
      </c>
      <c r="F98" s="293">
        <v>0.175</v>
      </c>
      <c r="G98" s="294">
        <v>34.5</v>
      </c>
      <c r="H98" s="293">
        <v>0.175</v>
      </c>
      <c r="I98" s="294">
        <v>0</v>
      </c>
      <c r="J98" s="293">
        <v>0.88</v>
      </c>
      <c r="K98" s="294">
        <v>13.3</v>
      </c>
      <c r="L98" s="295"/>
      <c r="M98" s="296"/>
    </row>
    <row r="99" spans="1:13" ht="11.25">
      <c r="A99" s="292">
        <v>95</v>
      </c>
      <c r="B99" s="293">
        <v>0.399</v>
      </c>
      <c r="C99" s="294">
        <v>155.4</v>
      </c>
      <c r="D99" s="293">
        <v>0.059</v>
      </c>
      <c r="E99" s="294">
        <v>26.9</v>
      </c>
      <c r="F99" s="293">
        <v>0.174</v>
      </c>
      <c r="G99" s="294">
        <v>34.8</v>
      </c>
      <c r="H99" s="293">
        <v>0.174</v>
      </c>
      <c r="I99" s="294">
        <v>0</v>
      </c>
      <c r="J99" s="293">
        <v>0.088</v>
      </c>
      <c r="K99" s="294">
        <v>13.5</v>
      </c>
      <c r="L99" s="295"/>
      <c r="M99" s="296"/>
    </row>
  </sheetData>
  <sheetProtection/>
  <mergeCells count="8">
    <mergeCell ref="L2:M3"/>
    <mergeCell ref="C1:K1"/>
    <mergeCell ref="A2:A4"/>
    <mergeCell ref="B2:C3"/>
    <mergeCell ref="D2:E3"/>
    <mergeCell ref="F2:G3"/>
    <mergeCell ref="J2:K3"/>
    <mergeCell ref="H2:I3"/>
  </mergeCells>
  <conditionalFormatting sqref="N43:S43">
    <cfRule type="expression" priority="1" dxfId="1" stopIfTrue="1">
      <formula>MOD(#REF!,2)=1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Zeros="0" zoomScalePageLayoutView="0" workbookViewId="0" topLeftCell="A1">
      <selection activeCell="A39" sqref="A39"/>
    </sheetView>
  </sheetViews>
  <sheetFormatPr defaultColWidth="9.140625" defaultRowHeight="12.75" outlineLevelCol="1"/>
  <cols>
    <col min="1" max="1" width="7.421875" style="92" customWidth="1"/>
    <col min="2" max="3" width="9.140625" style="93" customWidth="1"/>
    <col min="4" max="4" width="9.140625" style="105" customWidth="1"/>
    <col min="5" max="5" width="11.57421875" style="93" bestFit="1" customWidth="1"/>
    <col min="6" max="6" width="12.421875" style="93" customWidth="1"/>
    <col min="7" max="8" width="11.421875" style="93" bestFit="1" customWidth="1"/>
    <col min="9" max="9" width="7.421875" style="93" hidden="1" customWidth="1" outlineLevel="1"/>
    <col min="10" max="10" width="9.140625" style="93" hidden="1" customWidth="1" outlineLevel="1"/>
    <col min="11" max="11" width="12.57421875" style="94" hidden="1" customWidth="1" outlineLevel="1"/>
    <col min="12" max="12" width="6.140625" style="92" customWidth="1" collapsed="1"/>
    <col min="13" max="13" width="9.00390625" style="92" customWidth="1"/>
    <col min="14" max="16384" width="9.140625" style="92" customWidth="1"/>
  </cols>
  <sheetData>
    <row r="1" ht="12.75">
      <c r="D1" s="93"/>
    </row>
    <row r="2" ht="12.75">
      <c r="D2" s="93"/>
    </row>
    <row r="3" spans="1:18" ht="30.75" customHeight="1" thickBot="1">
      <c r="A3" s="95"/>
      <c r="B3" s="192" t="s">
        <v>179</v>
      </c>
      <c r="C3" s="192" t="s">
        <v>180</v>
      </c>
      <c r="D3" s="192" t="s">
        <v>181</v>
      </c>
      <c r="E3" s="192" t="s">
        <v>185</v>
      </c>
      <c r="F3" s="192" t="s">
        <v>184</v>
      </c>
      <c r="G3" s="192" t="s">
        <v>183</v>
      </c>
      <c r="H3" s="192" t="s">
        <v>182</v>
      </c>
      <c r="I3" s="96" t="s">
        <v>86</v>
      </c>
      <c r="J3" s="96" t="s">
        <v>87</v>
      </c>
      <c r="K3" s="177" t="s">
        <v>161</v>
      </c>
      <c r="M3" s="176"/>
      <c r="N3" s="176"/>
      <c r="O3" s="176"/>
      <c r="P3" s="176"/>
      <c r="Q3" s="176"/>
      <c r="R3" s="176"/>
    </row>
    <row r="4" spans="1:18" s="172" customFormat="1" ht="12.75" customHeight="1" thickBot="1">
      <c r="A4" s="171" t="s">
        <v>88</v>
      </c>
      <c r="B4" s="190" t="s">
        <v>89</v>
      </c>
      <c r="C4" s="190" t="s">
        <v>90</v>
      </c>
      <c r="D4" s="190" t="s">
        <v>91</v>
      </c>
      <c r="E4" s="190" t="s">
        <v>75</v>
      </c>
      <c r="F4" s="190" t="s">
        <v>92</v>
      </c>
      <c r="G4" s="190" t="s">
        <v>93</v>
      </c>
      <c r="H4" s="190" t="s">
        <v>94</v>
      </c>
      <c r="I4" s="190" t="s">
        <v>95</v>
      </c>
      <c r="J4" s="190" t="s">
        <v>96</v>
      </c>
      <c r="K4" s="191" t="s">
        <v>92</v>
      </c>
      <c r="R4" s="173"/>
    </row>
    <row r="5" spans="1:18" ht="12.75" customHeight="1">
      <c r="A5" s="97" t="s">
        <v>97</v>
      </c>
      <c r="B5" s="184">
        <v>100</v>
      </c>
      <c r="C5" s="184">
        <v>12</v>
      </c>
      <c r="D5" s="185">
        <v>32</v>
      </c>
      <c r="E5" s="184">
        <v>1.3</v>
      </c>
      <c r="F5" s="186">
        <f>IF(B5="",0,(SQRT(E5^2-29.16*B5*C5^1.82/D5^4.82)))</f>
        <v>1.294244758607543</v>
      </c>
      <c r="G5" s="186">
        <f>(E5-F5)*1000</f>
        <v>5.755241392457089</v>
      </c>
      <c r="H5" s="186">
        <f>IF(B5="",0,353.677*C5/(D5^2*F5))</f>
        <v>3.2023713568746954</v>
      </c>
      <c r="I5" s="187">
        <f aca="true" t="shared" si="0" ref="I5:I20">(E5+1000)/1000</f>
        <v>1.0012999999999999</v>
      </c>
      <c r="J5" s="188">
        <v>0.6</v>
      </c>
      <c r="K5" s="189">
        <f>(29.16*B5*C5^1.82)/D5^4.82</f>
        <v>0.014930504816902754</v>
      </c>
      <c r="R5" s="173"/>
    </row>
    <row r="6" spans="1:18" ht="12.75" customHeight="1">
      <c r="A6" s="98" t="s">
        <v>98</v>
      </c>
      <c r="B6" s="99">
        <v>18.3</v>
      </c>
      <c r="C6" s="99">
        <v>61.7</v>
      </c>
      <c r="D6" s="100">
        <v>65</v>
      </c>
      <c r="E6" s="99">
        <v>1.3</v>
      </c>
      <c r="F6" s="183">
        <f aca="true" t="shared" si="1" ref="F6:F20">IF(B6="",0,(SQRT(E6^2-29.16*B6*C6^1.82/D6^4.82)))</f>
        <v>1.2993200836786483</v>
      </c>
      <c r="G6" s="183">
        <f aca="true" t="shared" si="2" ref="G6:G20">(E6-F6)*1000</f>
        <v>0.6799163213517811</v>
      </c>
      <c r="H6" s="183">
        <f aca="true" t="shared" si="3" ref="H6:H20">IF(B6="",0,353.677*C6/(D6^2*F6))</f>
        <v>3.9751096922670017</v>
      </c>
      <c r="I6" s="102">
        <f t="shared" si="0"/>
        <v>1.0012999999999999</v>
      </c>
      <c r="J6" s="101">
        <v>0.6</v>
      </c>
      <c r="K6" s="103">
        <f aca="true" t="shared" si="4" ref="K6:K20">(29.16*B6*C6^1.82)/D6^4.82</f>
        <v>0.0017673201493107508</v>
      </c>
      <c r="R6" s="173"/>
    </row>
    <row r="7" spans="1:18" ht="12.75" customHeight="1">
      <c r="A7" s="98" t="s">
        <v>99</v>
      </c>
      <c r="B7" s="99">
        <v>30</v>
      </c>
      <c r="C7" s="99">
        <v>16.5</v>
      </c>
      <c r="D7" s="100">
        <v>32</v>
      </c>
      <c r="E7" s="99">
        <v>1.3</v>
      </c>
      <c r="F7" s="183">
        <f t="shared" si="1"/>
        <v>1.29692072862779</v>
      </c>
      <c r="G7" s="183">
        <f t="shared" si="2"/>
        <v>3.0792713722100906</v>
      </c>
      <c r="H7" s="183">
        <f t="shared" si="3"/>
        <v>4.394175254401232</v>
      </c>
      <c r="I7" s="102">
        <f t="shared" si="0"/>
        <v>1.0012999999999999</v>
      </c>
      <c r="J7" s="101">
        <v>0.6</v>
      </c>
      <c r="K7" s="103">
        <f t="shared" si="4"/>
        <v>0.007996623655562899</v>
      </c>
      <c r="R7" s="173"/>
    </row>
    <row r="8" spans="1:18" ht="12.75" customHeight="1">
      <c r="A8" s="98"/>
      <c r="B8" s="99"/>
      <c r="C8" s="99"/>
      <c r="D8" s="100"/>
      <c r="E8" s="99"/>
      <c r="F8" s="183">
        <f t="shared" si="1"/>
        <v>0</v>
      </c>
      <c r="G8" s="183">
        <f t="shared" si="2"/>
        <v>0</v>
      </c>
      <c r="H8" s="183">
        <f t="shared" si="3"/>
        <v>0</v>
      </c>
      <c r="I8" s="102">
        <f t="shared" si="0"/>
        <v>1</v>
      </c>
      <c r="J8" s="101">
        <v>0.6</v>
      </c>
      <c r="K8" s="103" t="e">
        <f t="shared" si="4"/>
        <v>#DIV/0!</v>
      </c>
      <c r="R8" s="173"/>
    </row>
    <row r="9" spans="1:18" ht="12.75" customHeight="1">
      <c r="A9" s="98"/>
      <c r="B9" s="99"/>
      <c r="C9" s="99"/>
      <c r="D9" s="100"/>
      <c r="E9" s="99"/>
      <c r="F9" s="183">
        <f t="shared" si="1"/>
        <v>0</v>
      </c>
      <c r="G9" s="183">
        <f t="shared" si="2"/>
        <v>0</v>
      </c>
      <c r="H9" s="183">
        <f t="shared" si="3"/>
        <v>0</v>
      </c>
      <c r="I9" s="102">
        <f t="shared" si="0"/>
        <v>1</v>
      </c>
      <c r="J9" s="101">
        <v>0.6</v>
      </c>
      <c r="K9" s="103" t="e">
        <f t="shared" si="4"/>
        <v>#DIV/0!</v>
      </c>
      <c r="R9" s="173"/>
    </row>
    <row r="10" spans="1:18" ht="12.75" customHeight="1">
      <c r="A10" s="98"/>
      <c r="B10" s="99"/>
      <c r="C10" s="99"/>
      <c r="D10" s="100"/>
      <c r="E10" s="99"/>
      <c r="F10" s="183">
        <f t="shared" si="1"/>
        <v>0</v>
      </c>
      <c r="G10" s="183">
        <f t="shared" si="2"/>
        <v>0</v>
      </c>
      <c r="H10" s="183">
        <f t="shared" si="3"/>
        <v>0</v>
      </c>
      <c r="I10" s="102">
        <f t="shared" si="0"/>
        <v>1</v>
      </c>
      <c r="J10" s="101">
        <v>0.6</v>
      </c>
      <c r="K10" s="103" t="e">
        <f t="shared" si="4"/>
        <v>#DIV/0!</v>
      </c>
      <c r="R10" s="173"/>
    </row>
    <row r="11" spans="1:18" ht="12.75" customHeight="1">
      <c r="A11" s="98"/>
      <c r="B11" s="99"/>
      <c r="C11" s="99"/>
      <c r="D11" s="100"/>
      <c r="E11" s="99"/>
      <c r="F11" s="183">
        <f t="shared" si="1"/>
        <v>0</v>
      </c>
      <c r="G11" s="183">
        <f t="shared" si="2"/>
        <v>0</v>
      </c>
      <c r="H11" s="183">
        <f t="shared" si="3"/>
        <v>0</v>
      </c>
      <c r="I11" s="102">
        <f t="shared" si="0"/>
        <v>1</v>
      </c>
      <c r="J11" s="101">
        <v>0.6</v>
      </c>
      <c r="K11" s="103" t="e">
        <f t="shared" si="4"/>
        <v>#DIV/0!</v>
      </c>
      <c r="R11" s="173"/>
    </row>
    <row r="12" spans="1:18" ht="12.75" customHeight="1">
      <c r="A12" s="98"/>
      <c r="B12" s="99"/>
      <c r="C12" s="99"/>
      <c r="D12" s="100"/>
      <c r="E12" s="99"/>
      <c r="F12" s="183">
        <f t="shared" si="1"/>
        <v>0</v>
      </c>
      <c r="G12" s="183">
        <f t="shared" si="2"/>
        <v>0</v>
      </c>
      <c r="H12" s="183">
        <f t="shared" si="3"/>
        <v>0</v>
      </c>
      <c r="I12" s="102">
        <f t="shared" si="0"/>
        <v>1</v>
      </c>
      <c r="J12" s="101">
        <v>0.6</v>
      </c>
      <c r="K12" s="103" t="e">
        <f t="shared" si="4"/>
        <v>#DIV/0!</v>
      </c>
      <c r="R12" s="173"/>
    </row>
    <row r="13" spans="1:18" ht="12.75" customHeight="1">
      <c r="A13" s="98"/>
      <c r="B13" s="99"/>
      <c r="C13" s="99"/>
      <c r="D13" s="100"/>
      <c r="E13" s="99"/>
      <c r="F13" s="183">
        <f t="shared" si="1"/>
        <v>0</v>
      </c>
      <c r="G13" s="183">
        <f t="shared" si="2"/>
        <v>0</v>
      </c>
      <c r="H13" s="183">
        <f t="shared" si="3"/>
        <v>0</v>
      </c>
      <c r="I13" s="102">
        <f t="shared" si="0"/>
        <v>1</v>
      </c>
      <c r="J13" s="101">
        <v>0.6</v>
      </c>
      <c r="K13" s="103" t="e">
        <f t="shared" si="4"/>
        <v>#DIV/0!</v>
      </c>
      <c r="R13" s="173"/>
    </row>
    <row r="14" spans="1:18" ht="12.75" customHeight="1">
      <c r="A14" s="98"/>
      <c r="B14" s="99"/>
      <c r="C14" s="99"/>
      <c r="D14" s="100"/>
      <c r="E14" s="99"/>
      <c r="F14" s="183">
        <f t="shared" si="1"/>
        <v>0</v>
      </c>
      <c r="G14" s="183">
        <f t="shared" si="2"/>
        <v>0</v>
      </c>
      <c r="H14" s="183">
        <f t="shared" si="3"/>
        <v>0</v>
      </c>
      <c r="I14" s="102">
        <f t="shared" si="0"/>
        <v>1</v>
      </c>
      <c r="J14" s="101">
        <v>0.6</v>
      </c>
      <c r="K14" s="103" t="e">
        <f t="shared" si="4"/>
        <v>#DIV/0!</v>
      </c>
      <c r="R14" s="173"/>
    </row>
    <row r="15" spans="1:18" ht="12.75" customHeight="1">
      <c r="A15" s="98"/>
      <c r="B15" s="99"/>
      <c r="C15" s="99"/>
      <c r="D15" s="100"/>
      <c r="E15" s="99"/>
      <c r="F15" s="183">
        <f t="shared" si="1"/>
        <v>0</v>
      </c>
      <c r="G15" s="183">
        <f t="shared" si="2"/>
        <v>0</v>
      </c>
      <c r="H15" s="183">
        <f t="shared" si="3"/>
        <v>0</v>
      </c>
      <c r="I15" s="102">
        <f t="shared" si="0"/>
        <v>1</v>
      </c>
      <c r="J15" s="101">
        <v>0.6</v>
      </c>
      <c r="K15" s="103" t="e">
        <f t="shared" si="4"/>
        <v>#DIV/0!</v>
      </c>
      <c r="R15" s="173"/>
    </row>
    <row r="16" spans="1:18" ht="12.75" customHeight="1">
      <c r="A16" s="98"/>
      <c r="B16" s="99"/>
      <c r="C16" s="99"/>
      <c r="D16" s="100"/>
      <c r="E16" s="99"/>
      <c r="F16" s="183">
        <f t="shared" si="1"/>
        <v>0</v>
      </c>
      <c r="G16" s="183">
        <f t="shared" si="2"/>
        <v>0</v>
      </c>
      <c r="H16" s="183">
        <f t="shared" si="3"/>
        <v>0</v>
      </c>
      <c r="I16" s="102">
        <f t="shared" si="0"/>
        <v>1</v>
      </c>
      <c r="J16" s="101">
        <v>0.6</v>
      </c>
      <c r="K16" s="103" t="e">
        <f t="shared" si="4"/>
        <v>#DIV/0!</v>
      </c>
      <c r="R16" s="173"/>
    </row>
    <row r="17" spans="1:18" ht="12.75" customHeight="1">
      <c r="A17" s="98"/>
      <c r="B17" s="99"/>
      <c r="C17" s="99"/>
      <c r="D17" s="100"/>
      <c r="E17" s="99"/>
      <c r="F17" s="183">
        <f t="shared" si="1"/>
        <v>0</v>
      </c>
      <c r="G17" s="183">
        <f t="shared" si="2"/>
        <v>0</v>
      </c>
      <c r="H17" s="183">
        <f t="shared" si="3"/>
        <v>0</v>
      </c>
      <c r="I17" s="102">
        <f t="shared" si="0"/>
        <v>1</v>
      </c>
      <c r="J17" s="101">
        <v>0.6</v>
      </c>
      <c r="K17" s="103" t="e">
        <f t="shared" si="4"/>
        <v>#DIV/0!</v>
      </c>
      <c r="R17" s="173"/>
    </row>
    <row r="18" spans="1:18" ht="12.75" customHeight="1">
      <c r="A18" s="98"/>
      <c r="B18" s="99"/>
      <c r="C18" s="99"/>
      <c r="D18" s="100"/>
      <c r="E18" s="99"/>
      <c r="F18" s="183">
        <f t="shared" si="1"/>
        <v>0</v>
      </c>
      <c r="G18" s="183">
        <f t="shared" si="2"/>
        <v>0</v>
      </c>
      <c r="H18" s="183">
        <f t="shared" si="3"/>
        <v>0</v>
      </c>
      <c r="I18" s="102">
        <f t="shared" si="0"/>
        <v>1</v>
      </c>
      <c r="J18" s="101">
        <v>0.6</v>
      </c>
      <c r="K18" s="103" t="e">
        <f t="shared" si="4"/>
        <v>#DIV/0!</v>
      </c>
      <c r="R18" s="173"/>
    </row>
    <row r="19" spans="1:18" ht="12.75" customHeight="1">
      <c r="A19" s="98"/>
      <c r="B19" s="99"/>
      <c r="C19" s="99"/>
      <c r="D19" s="100"/>
      <c r="E19" s="99"/>
      <c r="F19" s="183">
        <f t="shared" si="1"/>
        <v>0</v>
      </c>
      <c r="G19" s="183">
        <f t="shared" si="2"/>
        <v>0</v>
      </c>
      <c r="H19" s="183">
        <f t="shared" si="3"/>
        <v>0</v>
      </c>
      <c r="I19" s="102">
        <f t="shared" si="0"/>
        <v>1</v>
      </c>
      <c r="J19" s="101">
        <v>0.6</v>
      </c>
      <c r="K19" s="103" t="e">
        <f t="shared" si="4"/>
        <v>#DIV/0!</v>
      </c>
      <c r="R19" s="173"/>
    </row>
    <row r="20" spans="1:18" ht="12.75" customHeight="1" thickBot="1">
      <c r="A20" s="104"/>
      <c r="B20" s="99"/>
      <c r="C20" s="99"/>
      <c r="D20" s="100"/>
      <c r="E20" s="99"/>
      <c r="F20" s="183">
        <f t="shared" si="1"/>
        <v>0</v>
      </c>
      <c r="G20" s="183">
        <f t="shared" si="2"/>
        <v>0</v>
      </c>
      <c r="H20" s="183">
        <f t="shared" si="3"/>
        <v>0</v>
      </c>
      <c r="I20" s="102">
        <f t="shared" si="0"/>
        <v>1</v>
      </c>
      <c r="J20" s="101">
        <v>0.6</v>
      </c>
      <c r="K20" s="103" t="e">
        <f t="shared" si="4"/>
        <v>#DIV/0!</v>
      </c>
      <c r="R20" s="173"/>
    </row>
    <row r="21" spans="7:18" ht="12.75" customHeight="1">
      <c r="G21" s="105">
        <f>SUM(G5:G20)</f>
        <v>9.51442908601896</v>
      </c>
      <c r="H21" s="105"/>
      <c r="I21" s="105"/>
      <c r="R21" s="174"/>
    </row>
    <row r="22" spans="2:18" ht="12.75" customHeight="1">
      <c r="B22" s="181"/>
      <c r="C22" s="181"/>
      <c r="D22" s="182"/>
      <c r="E22" s="178"/>
      <c r="F22" s="178"/>
      <c r="H22" s="178"/>
      <c r="I22" s="178"/>
      <c r="R22" s="173"/>
    </row>
    <row r="23" spans="2:18" ht="12.75" customHeight="1">
      <c r="B23" s="181"/>
      <c r="C23" s="180" t="s">
        <v>162</v>
      </c>
      <c r="D23" s="182"/>
      <c r="E23" s="178"/>
      <c r="F23" s="178"/>
      <c r="G23" s="178"/>
      <c r="H23" s="178"/>
      <c r="I23" s="178"/>
      <c r="R23" s="174"/>
    </row>
    <row r="24" spans="2:16" ht="12.75" customHeight="1">
      <c r="B24" s="182"/>
      <c r="C24" s="178" t="s">
        <v>171</v>
      </c>
      <c r="D24" s="178" t="s">
        <v>163</v>
      </c>
      <c r="E24" s="178"/>
      <c r="F24" s="178"/>
      <c r="G24" s="178">
        <v>1.3</v>
      </c>
      <c r="J24" s="94"/>
      <c r="K24" s="92"/>
      <c r="P24" s="173"/>
    </row>
    <row r="25" spans="2:16" ht="12.75" customHeight="1">
      <c r="B25" s="182"/>
      <c r="C25" s="178" t="s">
        <v>172</v>
      </c>
      <c r="D25" s="178" t="s">
        <v>164</v>
      </c>
      <c r="E25" s="178"/>
      <c r="F25" s="178"/>
      <c r="G25" s="178"/>
      <c r="J25" s="94"/>
      <c r="K25" s="92"/>
      <c r="P25" s="174"/>
    </row>
    <row r="26" spans="2:16" ht="12.75" customHeight="1">
      <c r="B26" s="182"/>
      <c r="C26" s="178" t="s">
        <v>165</v>
      </c>
      <c r="D26" s="178" t="s">
        <v>177</v>
      </c>
      <c r="E26" s="178"/>
      <c r="F26" s="178"/>
      <c r="G26" s="178">
        <v>100</v>
      </c>
      <c r="J26" s="94"/>
      <c r="K26" s="92"/>
      <c r="P26" s="175"/>
    </row>
    <row r="27" spans="2:16" ht="12.75" customHeight="1">
      <c r="B27" s="182"/>
      <c r="C27" s="178" t="s">
        <v>158</v>
      </c>
      <c r="D27" s="178" t="s">
        <v>173</v>
      </c>
      <c r="E27" s="178"/>
      <c r="F27" s="178"/>
      <c r="G27" s="178">
        <v>12</v>
      </c>
      <c r="J27" s="94"/>
      <c r="K27" s="92"/>
      <c r="P27" s="175"/>
    </row>
    <row r="28" spans="2:16" ht="12.75">
      <c r="B28" s="182"/>
      <c r="C28" s="178" t="s">
        <v>159</v>
      </c>
      <c r="D28" s="178" t="s">
        <v>166</v>
      </c>
      <c r="E28" s="178"/>
      <c r="F28" s="178"/>
      <c r="G28" s="178">
        <v>32</v>
      </c>
      <c r="J28" s="94"/>
      <c r="K28" s="92"/>
      <c r="P28" s="175"/>
    </row>
    <row r="29" spans="2:16" ht="12.75">
      <c r="B29" s="182"/>
      <c r="C29" s="178" t="s">
        <v>167</v>
      </c>
      <c r="D29" s="178" t="s">
        <v>168</v>
      </c>
      <c r="E29" s="178"/>
      <c r="F29" s="178"/>
      <c r="G29" s="178"/>
      <c r="J29" s="94"/>
      <c r="K29" s="92"/>
      <c r="P29" s="175"/>
    </row>
    <row r="30" spans="2:16" ht="12.75">
      <c r="B30" s="182"/>
      <c r="C30" s="178"/>
      <c r="D30" s="178"/>
      <c r="E30" s="178"/>
      <c r="F30" s="178"/>
      <c r="G30" s="178"/>
      <c r="J30" s="94"/>
      <c r="K30" s="92"/>
      <c r="P30" s="175"/>
    </row>
    <row r="31" spans="2:16" ht="16.5">
      <c r="B31" s="182"/>
      <c r="C31" s="180" t="s">
        <v>174</v>
      </c>
      <c r="D31" s="180" t="s">
        <v>178</v>
      </c>
      <c r="E31" s="178"/>
      <c r="F31" s="178"/>
      <c r="G31" s="178"/>
      <c r="J31" s="94"/>
      <c r="K31" s="92"/>
      <c r="P31" s="175"/>
    </row>
    <row r="32" spans="2:11" ht="16.5">
      <c r="B32" s="182"/>
      <c r="C32" s="180" t="s">
        <v>160</v>
      </c>
      <c r="D32" s="180" t="s">
        <v>175</v>
      </c>
      <c r="E32" s="178"/>
      <c r="F32" s="178"/>
      <c r="G32" s="178"/>
      <c r="J32" s="94"/>
      <c r="K32" s="92"/>
    </row>
    <row r="33" spans="2:11" ht="12.75">
      <c r="B33" s="182"/>
      <c r="C33" s="178"/>
      <c r="D33" s="178"/>
      <c r="E33" s="178"/>
      <c r="F33" s="178"/>
      <c r="G33" s="178"/>
      <c r="J33" s="94"/>
      <c r="K33" s="92"/>
    </row>
    <row r="34" spans="2:11" ht="14.25">
      <c r="B34" s="182"/>
      <c r="C34" s="180" t="s">
        <v>176</v>
      </c>
      <c r="D34" s="179">
        <f>SQRT(POWER(G24,2)-(29.16*G26*POWER(G27,1.82))/POWER(G28,4.82))</f>
        <v>1.294244758607543</v>
      </c>
      <c r="E34" s="180" t="s">
        <v>169</v>
      </c>
      <c r="F34" s="179">
        <f>(1.3-D34)*1000</f>
        <v>5.755241392457089</v>
      </c>
      <c r="G34" s="178"/>
      <c r="J34" s="94"/>
      <c r="K34" s="92"/>
    </row>
    <row r="35" spans="2:11" ht="12.75">
      <c r="B35" s="182"/>
      <c r="C35" s="180" t="s">
        <v>160</v>
      </c>
      <c r="D35" s="179">
        <f>353.667*G27/(POWER(G28,2)*D34)</f>
        <v>3.2022808117909927</v>
      </c>
      <c r="E35" s="180" t="s">
        <v>170</v>
      </c>
      <c r="F35" s="180"/>
      <c r="G35" s="178"/>
      <c r="J35" s="94"/>
      <c r="K35" s="92"/>
    </row>
    <row r="36" spans="2:11" ht="12.75">
      <c r="B36" s="105"/>
      <c r="D36" s="93"/>
      <c r="J36" s="94"/>
      <c r="K36" s="92"/>
    </row>
    <row r="37" spans="2:11" ht="12.75">
      <c r="B37" s="105"/>
      <c r="D37" s="93"/>
      <c r="J37" s="94"/>
      <c r="K37" s="92"/>
    </row>
  </sheetData>
  <sheetProtection/>
  <conditionalFormatting sqref="G21:I21 K21">
    <cfRule type="cellIs" priority="1" dxfId="0" operator="greaterThan" stopIfTrue="1">
      <formula>21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F71"/>
  <sheetViews>
    <sheetView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6.140625" style="5" customWidth="1"/>
    <col min="2" max="2" width="4.7109375" style="5" customWidth="1"/>
    <col min="3" max="3" width="4.7109375" style="6" customWidth="1"/>
    <col min="4" max="4" width="7.7109375" style="7" customWidth="1"/>
    <col min="5" max="5" width="4.7109375" style="7" customWidth="1"/>
    <col min="6" max="6" width="4.7109375" style="6" customWidth="1"/>
    <col min="7" max="7" width="7.7109375" style="7" customWidth="1"/>
    <col min="8" max="8" width="4.7109375" style="7" customWidth="1"/>
    <col min="9" max="9" width="4.7109375" style="6" customWidth="1"/>
    <col min="10" max="10" width="7.7109375" style="7" customWidth="1"/>
    <col min="11" max="11" width="4.7109375" style="7" customWidth="1"/>
    <col min="12" max="12" width="4.7109375" style="6" customWidth="1"/>
    <col min="13" max="13" width="7.7109375" style="7" customWidth="1"/>
    <col min="14" max="14" width="4.7109375" style="7" customWidth="1"/>
    <col min="15" max="15" width="4.7109375" style="6" customWidth="1"/>
    <col min="16" max="16" width="7.7109375" style="7" customWidth="1"/>
    <col min="17" max="17" width="4.7109375" style="7" customWidth="1"/>
    <col min="18" max="18" width="4.7109375" style="6" customWidth="1"/>
    <col min="19" max="19" width="7.7109375" style="7" customWidth="1"/>
    <col min="20" max="20" width="4.7109375" style="7" customWidth="1"/>
    <col min="21" max="21" width="4.7109375" style="6" customWidth="1"/>
    <col min="22" max="22" width="7.7109375" style="7" customWidth="1"/>
    <col min="23" max="23" width="4.7109375" style="7" customWidth="1"/>
    <col min="24" max="24" width="4.7109375" style="6" customWidth="1"/>
    <col min="25" max="25" width="7.7109375" style="7" customWidth="1"/>
    <col min="26" max="26" width="16.7109375" style="8" customWidth="1"/>
    <col min="27" max="27" width="4.421875" style="8" customWidth="1"/>
    <col min="28" max="28" width="8.28125" style="9" customWidth="1"/>
    <col min="29" max="29" width="12.140625" style="8" customWidth="1"/>
    <col min="30" max="30" width="13.00390625" style="8" bestFit="1" customWidth="1"/>
    <col min="31" max="31" width="9.140625" style="8" customWidth="1"/>
    <col min="32" max="32" width="9.140625" style="9" customWidth="1"/>
    <col min="33" max="16384" width="9.140625" style="8" customWidth="1"/>
  </cols>
  <sheetData>
    <row r="1" spans="28:32" ht="12.75">
      <c r="AB1" s="8">
        <v>15</v>
      </c>
      <c r="AC1" s="9" t="s">
        <v>15</v>
      </c>
      <c r="AD1" s="9" t="s">
        <v>16</v>
      </c>
      <c r="AF1" s="8"/>
    </row>
    <row r="2" spans="28:32" ht="12.75">
      <c r="AB2" s="8">
        <v>20</v>
      </c>
      <c r="AC2" s="9" t="s">
        <v>20</v>
      </c>
      <c r="AD2" s="9"/>
      <c r="AF2" s="8"/>
    </row>
    <row r="3" spans="1:29" s="21" customFormat="1" ht="12.75">
      <c r="A3" s="19"/>
      <c r="B3" s="19"/>
      <c r="C3" s="19"/>
      <c r="D3" s="24" t="s">
        <v>239</v>
      </c>
      <c r="E3" s="24"/>
      <c r="F3" s="19"/>
      <c r="G3" s="279"/>
      <c r="H3" s="279"/>
      <c r="I3" s="279"/>
      <c r="J3" s="20"/>
      <c r="K3" s="20"/>
      <c r="L3" s="19"/>
      <c r="M3" s="20"/>
      <c r="N3" s="20"/>
      <c r="O3" s="19"/>
      <c r="P3" s="20"/>
      <c r="Q3" s="20"/>
      <c r="R3" s="19"/>
      <c r="S3" s="20"/>
      <c r="T3" s="20"/>
      <c r="U3" s="19"/>
      <c r="V3" s="20"/>
      <c r="W3" s="20"/>
      <c r="X3" s="19"/>
      <c r="Y3" s="20"/>
      <c r="AB3" s="22">
        <v>25</v>
      </c>
      <c r="AC3" s="23" t="s">
        <v>22</v>
      </c>
    </row>
    <row r="4" spans="28:32" ht="12.75">
      <c r="AB4" s="8">
        <v>32</v>
      </c>
      <c r="AC4" s="9" t="s">
        <v>17</v>
      </c>
      <c r="AD4" s="9"/>
      <c r="AF4" s="8"/>
    </row>
    <row r="5" spans="1:32" ht="12.75">
      <c r="A5" s="10" t="s">
        <v>12</v>
      </c>
      <c r="B5" s="10"/>
      <c r="AB5" s="8">
        <v>40</v>
      </c>
      <c r="AC5" s="9" t="s">
        <v>14</v>
      </c>
      <c r="AD5" s="9"/>
      <c r="AF5" s="8"/>
    </row>
    <row r="6" spans="1:32" ht="12.75">
      <c r="A6" s="10"/>
      <c r="B6" s="10"/>
      <c r="AB6" s="8">
        <v>50</v>
      </c>
      <c r="AC6" s="9" t="s">
        <v>18</v>
      </c>
      <c r="AD6" s="9"/>
      <c r="AF6" s="8"/>
    </row>
    <row r="7" spans="1:32" s="11" customFormat="1" ht="12.75" customHeight="1">
      <c r="A7" s="379" t="s">
        <v>33</v>
      </c>
      <c r="B7" s="385" t="s">
        <v>0</v>
      </c>
      <c r="C7" s="386"/>
      <c r="D7" s="387"/>
      <c r="E7" s="382" t="s">
        <v>1</v>
      </c>
      <c r="F7" s="383"/>
      <c r="G7" s="384"/>
      <c r="H7" s="388" t="s">
        <v>8</v>
      </c>
      <c r="I7" s="389"/>
      <c r="J7" s="390"/>
      <c r="K7" s="394" t="s">
        <v>2</v>
      </c>
      <c r="L7" s="395"/>
      <c r="M7" s="396"/>
      <c r="N7" s="370" t="s">
        <v>7</v>
      </c>
      <c r="O7" s="371"/>
      <c r="P7" s="372"/>
      <c r="Q7" s="373" t="s">
        <v>3</v>
      </c>
      <c r="R7" s="374"/>
      <c r="S7" s="375"/>
      <c r="T7" s="376" t="s">
        <v>4</v>
      </c>
      <c r="U7" s="377"/>
      <c r="V7" s="378"/>
      <c r="W7" s="391" t="s">
        <v>5</v>
      </c>
      <c r="X7" s="392"/>
      <c r="Y7" s="393"/>
      <c r="AB7" s="8">
        <v>65</v>
      </c>
      <c r="AC7" s="9" t="s">
        <v>19</v>
      </c>
      <c r="AD7" s="9"/>
      <c r="AE7" s="8"/>
      <c r="AF7" s="8"/>
    </row>
    <row r="8" spans="1:32" s="11" customFormat="1" ht="12" customHeight="1">
      <c r="A8" s="380"/>
      <c r="B8" s="63" t="s">
        <v>32</v>
      </c>
      <c r="C8" s="64" t="s">
        <v>9</v>
      </c>
      <c r="D8" s="63" t="s">
        <v>6</v>
      </c>
      <c r="E8" s="66" t="s">
        <v>32</v>
      </c>
      <c r="F8" s="67" t="s">
        <v>9</v>
      </c>
      <c r="G8" s="66" t="s">
        <v>6</v>
      </c>
      <c r="H8" s="69" t="s">
        <v>32</v>
      </c>
      <c r="I8" s="70" t="s">
        <v>9</v>
      </c>
      <c r="J8" s="69" t="s">
        <v>6</v>
      </c>
      <c r="K8" s="72" t="s">
        <v>32</v>
      </c>
      <c r="L8" s="73" t="s">
        <v>9</v>
      </c>
      <c r="M8" s="72" t="s">
        <v>6</v>
      </c>
      <c r="N8" s="75" t="s">
        <v>32</v>
      </c>
      <c r="O8" s="76" t="s">
        <v>9</v>
      </c>
      <c r="P8" s="75" t="s">
        <v>6</v>
      </c>
      <c r="Q8" s="78" t="s">
        <v>32</v>
      </c>
      <c r="R8" s="79" t="s">
        <v>9</v>
      </c>
      <c r="S8" s="78" t="s">
        <v>6</v>
      </c>
      <c r="T8" s="81" t="s">
        <v>32</v>
      </c>
      <c r="U8" s="82" t="s">
        <v>9</v>
      </c>
      <c r="V8" s="81" t="s">
        <v>6</v>
      </c>
      <c r="W8" s="84" t="s">
        <v>32</v>
      </c>
      <c r="X8" s="85" t="s">
        <v>9</v>
      </c>
      <c r="Y8" s="84" t="s">
        <v>6</v>
      </c>
      <c r="AB8" s="8">
        <v>80</v>
      </c>
      <c r="AC8" s="9" t="s">
        <v>21</v>
      </c>
      <c r="AD8" s="9"/>
      <c r="AE8" s="8"/>
      <c r="AF8" s="8"/>
    </row>
    <row r="9" spans="1:32" s="12" customFormat="1" ht="24" customHeight="1">
      <c r="A9" s="380"/>
      <c r="B9" s="65" t="s">
        <v>34</v>
      </c>
      <c r="C9" s="65" t="s">
        <v>10</v>
      </c>
      <c r="D9" s="65" t="s">
        <v>11</v>
      </c>
      <c r="E9" s="68" t="s">
        <v>34</v>
      </c>
      <c r="F9" s="68" t="s">
        <v>10</v>
      </c>
      <c r="G9" s="68" t="s">
        <v>11</v>
      </c>
      <c r="H9" s="71" t="s">
        <v>34</v>
      </c>
      <c r="I9" s="71" t="s">
        <v>10</v>
      </c>
      <c r="J9" s="71" t="s">
        <v>11</v>
      </c>
      <c r="K9" s="74" t="s">
        <v>34</v>
      </c>
      <c r="L9" s="74" t="s">
        <v>10</v>
      </c>
      <c r="M9" s="74" t="s">
        <v>11</v>
      </c>
      <c r="N9" s="77" t="s">
        <v>34</v>
      </c>
      <c r="O9" s="77" t="s">
        <v>10</v>
      </c>
      <c r="P9" s="77" t="s">
        <v>11</v>
      </c>
      <c r="Q9" s="80" t="s">
        <v>34</v>
      </c>
      <c r="R9" s="80" t="s">
        <v>10</v>
      </c>
      <c r="S9" s="80" t="s">
        <v>11</v>
      </c>
      <c r="T9" s="83" t="s">
        <v>34</v>
      </c>
      <c r="U9" s="83" t="s">
        <v>10</v>
      </c>
      <c r="V9" s="83" t="s">
        <v>11</v>
      </c>
      <c r="W9" s="86" t="s">
        <v>34</v>
      </c>
      <c r="X9" s="86" t="s">
        <v>10</v>
      </c>
      <c r="Y9" s="86" t="s">
        <v>11</v>
      </c>
      <c r="AB9" s="8" t="s">
        <v>13</v>
      </c>
      <c r="AC9" s="13" t="s">
        <v>9</v>
      </c>
      <c r="AD9" s="13" t="s">
        <v>6</v>
      </c>
      <c r="AE9" s="13"/>
      <c r="AF9" s="14"/>
    </row>
    <row r="10" spans="1:32" s="11" customFormat="1" ht="12.75" customHeight="1">
      <c r="A10" s="381"/>
      <c r="B10" s="385" t="s">
        <v>0</v>
      </c>
      <c r="C10" s="386"/>
      <c r="D10" s="387"/>
      <c r="E10" s="382" t="s">
        <v>1</v>
      </c>
      <c r="F10" s="383"/>
      <c r="G10" s="384"/>
      <c r="H10" s="388" t="s">
        <v>8</v>
      </c>
      <c r="I10" s="389"/>
      <c r="J10" s="390"/>
      <c r="K10" s="394" t="s">
        <v>2</v>
      </c>
      <c r="L10" s="395"/>
      <c r="M10" s="396"/>
      <c r="N10" s="370" t="s">
        <v>7</v>
      </c>
      <c r="O10" s="371"/>
      <c r="P10" s="372"/>
      <c r="Q10" s="373" t="s">
        <v>3</v>
      </c>
      <c r="R10" s="374"/>
      <c r="S10" s="375"/>
      <c r="T10" s="376" t="s">
        <v>4</v>
      </c>
      <c r="U10" s="377"/>
      <c r="V10" s="378"/>
      <c r="W10" s="391" t="s">
        <v>5</v>
      </c>
      <c r="X10" s="392"/>
      <c r="Y10" s="393"/>
      <c r="AB10" s="8"/>
      <c r="AC10" s="9"/>
      <c r="AD10" s="9"/>
      <c r="AE10" s="8"/>
      <c r="AF10" s="8"/>
    </row>
    <row r="11" spans="1:25" ht="12.75">
      <c r="A11" s="1">
        <v>1</v>
      </c>
      <c r="B11" s="25">
        <v>1</v>
      </c>
      <c r="C11" s="26">
        <v>1.4</v>
      </c>
      <c r="D11" s="27">
        <v>0.0192</v>
      </c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3"/>
      <c r="T11" s="1"/>
      <c r="U11" s="2"/>
      <c r="V11" s="3"/>
      <c r="W11" s="1"/>
      <c r="X11" s="2"/>
      <c r="Y11" s="3"/>
    </row>
    <row r="12" spans="1:25" ht="12.75">
      <c r="A12" s="4">
        <v>1.5</v>
      </c>
      <c r="B12" s="28">
        <v>1.5</v>
      </c>
      <c r="C12" s="26">
        <v>2.1</v>
      </c>
      <c r="D12" s="27">
        <v>0.0732</v>
      </c>
      <c r="E12" s="32">
        <v>1.5</v>
      </c>
      <c r="F12" s="30">
        <v>1.1</v>
      </c>
      <c r="G12" s="31">
        <v>0.0087</v>
      </c>
      <c r="H12" s="4"/>
      <c r="I12" s="2"/>
      <c r="J12" s="3"/>
      <c r="K12" s="4"/>
      <c r="L12" s="2"/>
      <c r="M12" s="3"/>
      <c r="N12" s="4"/>
      <c r="O12" s="2"/>
      <c r="P12" s="3"/>
      <c r="Q12" s="4"/>
      <c r="R12" s="2"/>
      <c r="S12" s="3"/>
      <c r="T12" s="4"/>
      <c r="U12" s="2"/>
      <c r="V12" s="3"/>
      <c r="W12" s="4"/>
      <c r="X12" s="2"/>
      <c r="Y12" s="3"/>
    </row>
    <row r="13" spans="1:25" ht="12.75">
      <c r="A13" s="1">
        <v>2</v>
      </c>
      <c r="B13" s="25">
        <v>2</v>
      </c>
      <c r="C13" s="26">
        <v>2.8</v>
      </c>
      <c r="D13" s="27">
        <v>0.1256</v>
      </c>
      <c r="E13" s="29">
        <v>2</v>
      </c>
      <c r="F13" s="30">
        <v>1.5</v>
      </c>
      <c r="G13" s="31">
        <v>0.0269</v>
      </c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3"/>
      <c r="T13" s="1"/>
      <c r="U13" s="2"/>
      <c r="V13" s="3"/>
      <c r="W13" s="1"/>
      <c r="X13" s="2"/>
      <c r="Y13" s="3"/>
    </row>
    <row r="14" spans="1:25" ht="12.75">
      <c r="A14" s="4">
        <v>2.5</v>
      </c>
      <c r="B14" s="28">
        <v>2.5</v>
      </c>
      <c r="C14" s="26">
        <v>3.5</v>
      </c>
      <c r="D14" s="27">
        <v>0.1916</v>
      </c>
      <c r="E14" s="32">
        <v>2.5</v>
      </c>
      <c r="F14" s="30">
        <v>1.9</v>
      </c>
      <c r="G14" s="31">
        <v>0.0405</v>
      </c>
      <c r="H14" s="36">
        <v>2.5</v>
      </c>
      <c r="I14" s="34">
        <v>1.2</v>
      </c>
      <c r="J14" s="35">
        <v>0.0126</v>
      </c>
      <c r="K14" s="4"/>
      <c r="L14" s="2"/>
      <c r="M14" s="3"/>
      <c r="N14" s="4"/>
      <c r="O14" s="2"/>
      <c r="P14" s="3"/>
      <c r="Q14" s="4"/>
      <c r="R14" s="2"/>
      <c r="S14" s="3"/>
      <c r="T14" s="4"/>
      <c r="U14" s="2"/>
      <c r="V14" s="3"/>
      <c r="W14" s="4"/>
      <c r="X14" s="2"/>
      <c r="Y14" s="3"/>
    </row>
    <row r="15" spans="1:25" ht="12.75">
      <c r="A15" s="1">
        <v>3</v>
      </c>
      <c r="B15" s="25">
        <v>3</v>
      </c>
      <c r="C15" s="26">
        <v>4.1</v>
      </c>
      <c r="D15" s="27">
        <v>0.2716</v>
      </c>
      <c r="E15" s="29">
        <v>3</v>
      </c>
      <c r="F15" s="30">
        <v>2.3</v>
      </c>
      <c r="G15" s="31">
        <v>0.057</v>
      </c>
      <c r="H15" s="33">
        <v>3</v>
      </c>
      <c r="I15" s="34">
        <v>1.4</v>
      </c>
      <c r="J15" s="35">
        <v>0.0176</v>
      </c>
      <c r="K15" s="1"/>
      <c r="L15" s="2"/>
      <c r="M15" s="3"/>
      <c r="N15" s="1"/>
      <c r="O15" s="2"/>
      <c r="P15" s="3"/>
      <c r="Q15" s="1"/>
      <c r="R15" s="2"/>
      <c r="S15" s="3"/>
      <c r="T15" s="1"/>
      <c r="U15" s="2"/>
      <c r="V15" s="3"/>
      <c r="W15" s="1"/>
      <c r="X15" s="2"/>
      <c r="Y15" s="3"/>
    </row>
    <row r="16" spans="1:30" ht="12.75">
      <c r="A16" s="4">
        <v>3.5</v>
      </c>
      <c r="B16" s="28">
        <v>3.5</v>
      </c>
      <c r="C16" s="26">
        <v>4.8</v>
      </c>
      <c r="D16" s="27">
        <v>0.3651</v>
      </c>
      <c r="E16" s="32">
        <v>3.5</v>
      </c>
      <c r="F16" s="30">
        <v>2.7</v>
      </c>
      <c r="G16" s="31">
        <v>0.0762</v>
      </c>
      <c r="H16" s="36">
        <v>3.5</v>
      </c>
      <c r="I16" s="34">
        <v>1.7</v>
      </c>
      <c r="J16" s="35">
        <v>0.0234</v>
      </c>
      <c r="K16" s="4"/>
      <c r="L16" s="2"/>
      <c r="M16" s="3"/>
      <c r="N16" s="4"/>
      <c r="O16" s="2"/>
      <c r="P16" s="3"/>
      <c r="Q16" s="4"/>
      <c r="R16" s="2"/>
      <c r="S16" s="3"/>
      <c r="T16" s="4"/>
      <c r="U16" s="2"/>
      <c r="V16" s="3"/>
      <c r="W16" s="4"/>
      <c r="X16" s="2"/>
      <c r="Y16" s="3"/>
      <c r="AC16" s="15"/>
      <c r="AD16" s="9"/>
    </row>
    <row r="17" spans="1:30" ht="12.75">
      <c r="A17" s="1">
        <v>4</v>
      </c>
      <c r="B17" s="25">
        <v>4</v>
      </c>
      <c r="C17" s="26">
        <v>5.5</v>
      </c>
      <c r="D17" s="27">
        <v>0.4723</v>
      </c>
      <c r="E17" s="29">
        <v>4</v>
      </c>
      <c r="F17" s="30">
        <v>3</v>
      </c>
      <c r="G17" s="31">
        <v>0.098</v>
      </c>
      <c r="H17" s="33">
        <v>4</v>
      </c>
      <c r="I17" s="34">
        <v>1.9</v>
      </c>
      <c r="J17" s="35">
        <v>0.0299</v>
      </c>
      <c r="K17" s="37">
        <v>4</v>
      </c>
      <c r="L17" s="38">
        <v>1.1</v>
      </c>
      <c r="M17" s="39">
        <v>0.0074</v>
      </c>
      <c r="N17" s="1"/>
      <c r="O17" s="2"/>
      <c r="P17" s="3"/>
      <c r="Q17" s="1"/>
      <c r="R17" s="2"/>
      <c r="S17" s="3"/>
      <c r="T17" s="1"/>
      <c r="U17" s="2"/>
      <c r="V17" s="3"/>
      <c r="W17" s="1"/>
      <c r="X17" s="2"/>
      <c r="Y17" s="3"/>
      <c r="AC17" s="16"/>
      <c r="AD17" s="16"/>
    </row>
    <row r="18" spans="1:25" ht="12.75">
      <c r="A18" s="4">
        <v>4.5</v>
      </c>
      <c r="B18" s="4"/>
      <c r="C18" s="2"/>
      <c r="D18" s="3"/>
      <c r="E18" s="32">
        <v>4.5</v>
      </c>
      <c r="F18" s="30">
        <v>3.4</v>
      </c>
      <c r="G18" s="31">
        <v>0.1225</v>
      </c>
      <c r="H18" s="36">
        <v>4.5</v>
      </c>
      <c r="I18" s="34">
        <v>2.2</v>
      </c>
      <c r="J18" s="35">
        <v>0.0373</v>
      </c>
      <c r="K18" s="40">
        <v>4.5</v>
      </c>
      <c r="L18" s="38">
        <v>1.2</v>
      </c>
      <c r="M18" s="39">
        <v>0.0091</v>
      </c>
      <c r="N18" s="4"/>
      <c r="O18" s="2"/>
      <c r="P18" s="3"/>
      <c r="Q18" s="4"/>
      <c r="R18" s="2"/>
      <c r="S18" s="3"/>
      <c r="T18" s="4"/>
      <c r="U18" s="2"/>
      <c r="V18" s="3"/>
      <c r="W18" s="4"/>
      <c r="X18" s="2"/>
      <c r="Y18" s="3"/>
    </row>
    <row r="19" spans="1:25" ht="12.75">
      <c r="A19" s="1">
        <v>5</v>
      </c>
      <c r="B19" s="1"/>
      <c r="C19" s="2"/>
      <c r="D19" s="3"/>
      <c r="E19" s="29">
        <v>5</v>
      </c>
      <c r="F19" s="30">
        <v>3.8</v>
      </c>
      <c r="G19" s="31">
        <v>0.1497</v>
      </c>
      <c r="H19" s="33">
        <v>5</v>
      </c>
      <c r="I19" s="34">
        <v>2.4</v>
      </c>
      <c r="J19" s="35">
        <v>0.0454</v>
      </c>
      <c r="K19" s="37">
        <v>5</v>
      </c>
      <c r="L19" s="38">
        <v>1.4</v>
      </c>
      <c r="M19" s="39">
        <v>0.0111</v>
      </c>
      <c r="N19" s="41">
        <v>5</v>
      </c>
      <c r="O19" s="42">
        <v>1</v>
      </c>
      <c r="P19" s="43">
        <v>0.0052</v>
      </c>
      <c r="Q19" s="1"/>
      <c r="R19" s="2"/>
      <c r="S19" s="3"/>
      <c r="T19" s="1"/>
      <c r="U19" s="2"/>
      <c r="V19" s="3"/>
      <c r="W19" s="1"/>
      <c r="X19" s="2"/>
      <c r="Y19" s="3"/>
    </row>
    <row r="20" spans="1:29" ht="12.75">
      <c r="A20" s="4">
        <v>5.5</v>
      </c>
      <c r="B20" s="4"/>
      <c r="C20" s="2"/>
      <c r="D20" s="3"/>
      <c r="E20" s="32">
        <v>5.5</v>
      </c>
      <c r="F20" s="30">
        <v>4.2</v>
      </c>
      <c r="G20" s="31">
        <v>0.18</v>
      </c>
      <c r="H20" s="36">
        <v>5.5</v>
      </c>
      <c r="I20" s="34">
        <v>2.6</v>
      </c>
      <c r="J20" s="35">
        <v>0.0543</v>
      </c>
      <c r="K20" s="40">
        <v>5.5</v>
      </c>
      <c r="L20" s="38">
        <v>1.5</v>
      </c>
      <c r="M20" s="39">
        <v>0.0132</v>
      </c>
      <c r="N20" s="44">
        <v>5.5</v>
      </c>
      <c r="O20" s="42">
        <v>1.1</v>
      </c>
      <c r="P20" s="43">
        <v>0.0061</v>
      </c>
      <c r="Q20" s="4"/>
      <c r="R20" s="2"/>
      <c r="S20" s="3"/>
      <c r="T20" s="4"/>
      <c r="U20" s="2"/>
      <c r="V20" s="3"/>
      <c r="W20" s="4"/>
      <c r="X20" s="2"/>
      <c r="Y20" s="3"/>
      <c r="AA20" s="13"/>
      <c r="AC20" s="13"/>
    </row>
    <row r="21" spans="1:29" ht="12.75">
      <c r="A21" s="1">
        <v>6</v>
      </c>
      <c r="B21" s="1"/>
      <c r="C21" s="2"/>
      <c r="D21" s="3"/>
      <c r="E21" s="29">
        <v>6</v>
      </c>
      <c r="F21" s="30">
        <v>4.5</v>
      </c>
      <c r="G21" s="31">
        <v>0.2127</v>
      </c>
      <c r="H21" s="33">
        <v>6</v>
      </c>
      <c r="I21" s="34">
        <v>2.9</v>
      </c>
      <c r="J21" s="35">
        <v>0.064</v>
      </c>
      <c r="K21" s="37">
        <v>6</v>
      </c>
      <c r="L21" s="38">
        <v>1.6</v>
      </c>
      <c r="M21" s="39">
        <v>0.0155</v>
      </c>
      <c r="N21" s="41">
        <v>6</v>
      </c>
      <c r="O21" s="42">
        <v>1.2</v>
      </c>
      <c r="P21" s="43">
        <v>0.0072</v>
      </c>
      <c r="Q21" s="1"/>
      <c r="R21" s="2"/>
      <c r="S21" s="3"/>
      <c r="T21" s="1"/>
      <c r="U21" s="2"/>
      <c r="V21" s="3"/>
      <c r="W21" s="1"/>
      <c r="X21" s="2"/>
      <c r="Y21" s="3"/>
      <c r="AC21" s="9"/>
    </row>
    <row r="22" spans="1:29" ht="12.75">
      <c r="A22" s="4">
        <v>6.5</v>
      </c>
      <c r="B22" s="4"/>
      <c r="C22" s="2"/>
      <c r="D22" s="3"/>
      <c r="E22" s="32">
        <v>6.5</v>
      </c>
      <c r="F22" s="30">
        <v>4.9</v>
      </c>
      <c r="G22" s="31">
        <v>0.2481</v>
      </c>
      <c r="H22" s="36">
        <v>6.5</v>
      </c>
      <c r="I22" s="34">
        <v>3.1</v>
      </c>
      <c r="J22" s="35">
        <v>0.0745</v>
      </c>
      <c r="K22" s="40">
        <v>6.5</v>
      </c>
      <c r="L22" s="38">
        <v>1.8</v>
      </c>
      <c r="M22" s="39">
        <v>0.018</v>
      </c>
      <c r="N22" s="44">
        <v>6.5</v>
      </c>
      <c r="O22" s="42">
        <v>1.3</v>
      </c>
      <c r="P22" s="43">
        <v>0.0063</v>
      </c>
      <c r="Q22" s="4"/>
      <c r="R22" s="2"/>
      <c r="S22" s="3"/>
      <c r="T22" s="4"/>
      <c r="U22" s="2"/>
      <c r="V22" s="3"/>
      <c r="W22" s="4"/>
      <c r="X22" s="2"/>
      <c r="Y22" s="3"/>
      <c r="AC22" s="9"/>
    </row>
    <row r="23" spans="1:29" ht="12.75">
      <c r="A23" s="1">
        <v>7</v>
      </c>
      <c r="B23" s="1"/>
      <c r="C23" s="2"/>
      <c r="D23" s="3"/>
      <c r="E23" s="29">
        <v>7</v>
      </c>
      <c r="F23" s="30">
        <v>5.3</v>
      </c>
      <c r="G23" s="31">
        <v>0.2862</v>
      </c>
      <c r="H23" s="33">
        <v>7</v>
      </c>
      <c r="I23" s="34">
        <v>3.3</v>
      </c>
      <c r="J23" s="35">
        <v>0.0857</v>
      </c>
      <c r="K23" s="37">
        <v>7</v>
      </c>
      <c r="L23" s="38">
        <v>1.9</v>
      </c>
      <c r="M23" s="39">
        <v>0.0206</v>
      </c>
      <c r="N23" s="41">
        <v>7</v>
      </c>
      <c r="O23" s="42">
        <v>1.4</v>
      </c>
      <c r="P23" s="43">
        <v>0.0095</v>
      </c>
      <c r="Q23" s="1"/>
      <c r="R23" s="2"/>
      <c r="S23" s="3"/>
      <c r="T23" s="1"/>
      <c r="U23" s="2"/>
      <c r="V23" s="3"/>
      <c r="W23" s="1"/>
      <c r="X23" s="2"/>
      <c r="Y23" s="3"/>
      <c r="AB23" s="17"/>
      <c r="AC23" s="17"/>
    </row>
    <row r="24" spans="1:29" ht="12.75">
      <c r="A24" s="4">
        <v>7.5</v>
      </c>
      <c r="B24" s="4"/>
      <c r="C24" s="2"/>
      <c r="D24" s="3"/>
      <c r="E24" s="32">
        <v>7.5</v>
      </c>
      <c r="F24" s="30">
        <v>5.7</v>
      </c>
      <c r="G24" s="31">
        <v>0.327</v>
      </c>
      <c r="H24" s="36">
        <v>7.5</v>
      </c>
      <c r="I24" s="34">
        <v>3.6</v>
      </c>
      <c r="J24" s="35">
        <v>0.0978</v>
      </c>
      <c r="K24" s="40">
        <v>7.5</v>
      </c>
      <c r="L24" s="38">
        <v>2.1</v>
      </c>
      <c r="M24" s="39">
        <v>0.0235</v>
      </c>
      <c r="N24" s="44">
        <v>7.5</v>
      </c>
      <c r="O24" s="42">
        <v>1.5</v>
      </c>
      <c r="P24" s="43">
        <v>0.0108</v>
      </c>
      <c r="Q24" s="4"/>
      <c r="R24" s="2"/>
      <c r="S24" s="3"/>
      <c r="T24" s="4"/>
      <c r="U24" s="2"/>
      <c r="V24" s="3"/>
      <c r="W24" s="4"/>
      <c r="X24" s="2"/>
      <c r="Y24" s="3"/>
      <c r="AC24" s="17"/>
    </row>
    <row r="25" spans="1:29" ht="12.75">
      <c r="A25" s="1">
        <v>8</v>
      </c>
      <c r="B25" s="1"/>
      <c r="C25" s="2"/>
      <c r="D25" s="3"/>
      <c r="E25" s="4"/>
      <c r="F25" s="2"/>
      <c r="G25" s="3"/>
      <c r="H25" s="33">
        <v>8</v>
      </c>
      <c r="I25" s="34">
        <v>3.8</v>
      </c>
      <c r="J25" s="35">
        <v>0.1108</v>
      </c>
      <c r="K25" s="37">
        <v>8</v>
      </c>
      <c r="L25" s="38">
        <v>2.2</v>
      </c>
      <c r="M25" s="39">
        <v>0.0265</v>
      </c>
      <c r="N25" s="41">
        <v>8</v>
      </c>
      <c r="O25" s="42">
        <v>1.6</v>
      </c>
      <c r="P25" s="43">
        <v>0.0122</v>
      </c>
      <c r="Q25" s="45">
        <v>8</v>
      </c>
      <c r="R25" s="46">
        <v>1</v>
      </c>
      <c r="S25" s="47">
        <v>0.0037</v>
      </c>
      <c r="T25" s="1"/>
      <c r="U25" s="2"/>
      <c r="V25" s="3"/>
      <c r="W25" s="1"/>
      <c r="X25" s="2"/>
      <c r="Y25" s="3"/>
      <c r="AA25" s="13"/>
      <c r="AC25" s="17"/>
    </row>
    <row r="26" spans="1:29" ht="12.75">
      <c r="A26" s="4">
        <v>8.5</v>
      </c>
      <c r="B26" s="4"/>
      <c r="C26" s="2"/>
      <c r="D26" s="3"/>
      <c r="E26" s="3"/>
      <c r="F26" s="2"/>
      <c r="G26" s="3"/>
      <c r="H26" s="36">
        <v>8.5</v>
      </c>
      <c r="I26" s="34">
        <v>4.1</v>
      </c>
      <c r="J26" s="35">
        <v>0.1244</v>
      </c>
      <c r="K26" s="40">
        <v>8.5</v>
      </c>
      <c r="L26" s="38">
        <v>2.3</v>
      </c>
      <c r="M26" s="39">
        <v>0.0296</v>
      </c>
      <c r="N26" s="44">
        <v>8.5</v>
      </c>
      <c r="O26" s="42">
        <v>1.7</v>
      </c>
      <c r="P26" s="43">
        <v>0.0137</v>
      </c>
      <c r="Q26" s="48">
        <v>8.5</v>
      </c>
      <c r="R26" s="46">
        <v>1.1</v>
      </c>
      <c r="S26" s="47">
        <v>0.0041</v>
      </c>
      <c r="T26" s="4"/>
      <c r="U26" s="2"/>
      <c r="V26" s="3"/>
      <c r="W26" s="4"/>
      <c r="X26" s="2"/>
      <c r="Y26" s="3"/>
      <c r="AC26" s="9"/>
    </row>
    <row r="27" spans="1:29" ht="12.75">
      <c r="A27" s="1">
        <v>9</v>
      </c>
      <c r="B27" s="1"/>
      <c r="C27" s="2"/>
      <c r="D27" s="3"/>
      <c r="E27" s="3"/>
      <c r="F27" s="2"/>
      <c r="G27" s="3"/>
      <c r="H27" s="33">
        <v>9</v>
      </c>
      <c r="I27" s="34">
        <v>4.3</v>
      </c>
      <c r="J27" s="35">
        <v>0.1388</v>
      </c>
      <c r="K27" s="37">
        <v>9</v>
      </c>
      <c r="L27" s="38">
        <v>2.5</v>
      </c>
      <c r="M27" s="39">
        <v>0.033</v>
      </c>
      <c r="N27" s="41">
        <v>9</v>
      </c>
      <c r="O27" s="42">
        <v>1.8</v>
      </c>
      <c r="P27" s="43">
        <v>0.0152</v>
      </c>
      <c r="Q27" s="45">
        <v>9</v>
      </c>
      <c r="R27" s="46">
        <v>1.1</v>
      </c>
      <c r="S27" s="47">
        <v>0.0046</v>
      </c>
      <c r="T27" s="1"/>
      <c r="U27" s="2"/>
      <c r="V27" s="3"/>
      <c r="W27" s="1"/>
      <c r="X27" s="2"/>
      <c r="Y27" s="3"/>
      <c r="AC27" s="9"/>
    </row>
    <row r="28" spans="1:29" ht="12.75">
      <c r="A28" s="4">
        <v>9.5</v>
      </c>
      <c r="B28" s="4"/>
      <c r="C28" s="2"/>
      <c r="D28" s="3"/>
      <c r="E28" s="3"/>
      <c r="F28" s="2"/>
      <c r="G28" s="3"/>
      <c r="H28" s="36">
        <v>9.5</v>
      </c>
      <c r="I28" s="34">
        <v>4.5</v>
      </c>
      <c r="J28" s="35">
        <v>0.154</v>
      </c>
      <c r="K28" s="40">
        <v>9.5</v>
      </c>
      <c r="L28" s="38">
        <v>2.6</v>
      </c>
      <c r="M28" s="39">
        <v>0.0365</v>
      </c>
      <c r="N28" s="44">
        <v>9.5</v>
      </c>
      <c r="O28" s="42">
        <v>1.9</v>
      </c>
      <c r="P28" s="43">
        <v>0.0168</v>
      </c>
      <c r="Q28" s="48">
        <v>9.5</v>
      </c>
      <c r="R28" s="46">
        <v>1.2</v>
      </c>
      <c r="S28" s="47">
        <v>0.0051</v>
      </c>
      <c r="T28" s="4"/>
      <c r="U28" s="2"/>
      <c r="V28" s="3"/>
      <c r="W28" s="4"/>
      <c r="X28" s="2"/>
      <c r="Y28" s="3"/>
      <c r="AC28" s="9"/>
    </row>
    <row r="29" spans="1:25" ht="12.75">
      <c r="A29" s="1">
        <v>10</v>
      </c>
      <c r="B29" s="1"/>
      <c r="C29" s="2"/>
      <c r="D29" s="3"/>
      <c r="E29" s="3"/>
      <c r="F29" s="2"/>
      <c r="G29" s="3"/>
      <c r="H29" s="33">
        <v>10</v>
      </c>
      <c r="I29" s="34">
        <v>4.8</v>
      </c>
      <c r="J29" s="35">
        <v>0.17</v>
      </c>
      <c r="K29" s="37">
        <v>10</v>
      </c>
      <c r="L29" s="38">
        <v>2.7</v>
      </c>
      <c r="M29" s="39">
        <v>0.0402</v>
      </c>
      <c r="N29" s="41">
        <v>10</v>
      </c>
      <c r="O29" s="42">
        <v>2</v>
      </c>
      <c r="P29" s="43">
        <v>0.0185</v>
      </c>
      <c r="Q29" s="45">
        <v>10</v>
      </c>
      <c r="R29" s="46">
        <v>1.3</v>
      </c>
      <c r="S29" s="47">
        <v>0.0056</v>
      </c>
      <c r="T29" s="1"/>
      <c r="U29" s="2"/>
      <c r="V29" s="3"/>
      <c r="W29" s="1"/>
      <c r="X29" s="2"/>
      <c r="Y29" s="3"/>
    </row>
    <row r="30" spans="1:25" ht="12.75">
      <c r="A30" s="4">
        <v>10.5</v>
      </c>
      <c r="B30" s="4"/>
      <c r="C30" s="2"/>
      <c r="D30" s="3"/>
      <c r="E30" s="3"/>
      <c r="F30" s="2"/>
      <c r="G30" s="3"/>
      <c r="H30" s="36">
        <v>10.5</v>
      </c>
      <c r="I30" s="34">
        <v>5</v>
      </c>
      <c r="J30" s="35">
        <v>0.1867</v>
      </c>
      <c r="K30" s="40">
        <v>10.5</v>
      </c>
      <c r="L30" s="38">
        <v>2.9</v>
      </c>
      <c r="M30" s="39">
        <v>0.0441</v>
      </c>
      <c r="N30" s="44">
        <v>10.5</v>
      </c>
      <c r="O30" s="42">
        <v>2.1</v>
      </c>
      <c r="P30" s="43">
        <v>0.0202</v>
      </c>
      <c r="Q30" s="48">
        <v>10.5</v>
      </c>
      <c r="R30" s="46">
        <v>1.3</v>
      </c>
      <c r="S30" s="47">
        <v>0.0061</v>
      </c>
      <c r="T30" s="4"/>
      <c r="U30" s="2"/>
      <c r="V30" s="3"/>
      <c r="W30" s="4"/>
      <c r="X30" s="2"/>
      <c r="Y30" s="3"/>
    </row>
    <row r="31" spans="1:25" ht="12.75">
      <c r="A31" s="1">
        <v>11</v>
      </c>
      <c r="B31" s="1"/>
      <c r="C31" s="2"/>
      <c r="D31" s="3"/>
      <c r="E31" s="3"/>
      <c r="F31" s="2"/>
      <c r="G31" s="3"/>
      <c r="H31" s="33">
        <v>11</v>
      </c>
      <c r="I31" s="34">
        <v>5.3</v>
      </c>
      <c r="J31" s="35">
        <v>0.2042</v>
      </c>
      <c r="K31" s="37">
        <v>11</v>
      </c>
      <c r="L31" s="38">
        <v>3</v>
      </c>
      <c r="M31" s="39">
        <v>0.0482</v>
      </c>
      <c r="N31" s="41">
        <v>11</v>
      </c>
      <c r="O31" s="42">
        <v>2.2</v>
      </c>
      <c r="P31" s="43">
        <v>0.0221</v>
      </c>
      <c r="Q31" s="45">
        <v>11</v>
      </c>
      <c r="R31" s="46">
        <v>1.4</v>
      </c>
      <c r="S31" s="47">
        <v>0.0066</v>
      </c>
      <c r="T31" s="1"/>
      <c r="U31" s="2"/>
      <c r="V31" s="3"/>
      <c r="W31" s="1"/>
      <c r="X31" s="2"/>
      <c r="Y31" s="3"/>
    </row>
    <row r="32" spans="1:28" ht="12.75">
      <c r="A32" s="4">
        <v>11.5</v>
      </c>
      <c r="B32" s="4"/>
      <c r="C32" s="2"/>
      <c r="D32" s="3"/>
      <c r="E32" s="3"/>
      <c r="F32" s="2"/>
      <c r="G32" s="3"/>
      <c r="H32" s="36">
        <v>11.5</v>
      </c>
      <c r="I32" s="34">
        <v>5.5</v>
      </c>
      <c r="J32" s="35">
        <v>0.2225</v>
      </c>
      <c r="K32" s="40">
        <v>11.5</v>
      </c>
      <c r="L32" s="38">
        <v>3.2</v>
      </c>
      <c r="M32" s="39">
        <v>0.0524</v>
      </c>
      <c r="N32" s="44">
        <v>11.5</v>
      </c>
      <c r="O32" s="42">
        <v>2.3</v>
      </c>
      <c r="P32" s="43">
        <v>0.024</v>
      </c>
      <c r="Q32" s="48">
        <v>11.5</v>
      </c>
      <c r="R32" s="46">
        <v>1.4</v>
      </c>
      <c r="S32" s="47">
        <v>0.0072</v>
      </c>
      <c r="T32" s="4"/>
      <c r="U32" s="2"/>
      <c r="V32" s="3"/>
      <c r="W32" s="4"/>
      <c r="X32" s="2"/>
      <c r="Y32" s="3"/>
      <c r="AB32" s="18"/>
    </row>
    <row r="33" spans="1:25" ht="12.75">
      <c r="A33" s="1">
        <v>12</v>
      </c>
      <c r="B33" s="1"/>
      <c r="C33" s="2"/>
      <c r="D33" s="3"/>
      <c r="E33" s="3"/>
      <c r="F33" s="2"/>
      <c r="G33" s="3"/>
      <c r="H33" s="33">
        <v>12</v>
      </c>
      <c r="I33" s="34">
        <v>5.7</v>
      </c>
      <c r="J33" s="35">
        <v>0.2416</v>
      </c>
      <c r="K33" s="37">
        <v>12</v>
      </c>
      <c r="L33" s="38">
        <v>3.3</v>
      </c>
      <c r="M33" s="39">
        <v>0.0568</v>
      </c>
      <c r="N33" s="41">
        <v>12</v>
      </c>
      <c r="O33" s="42">
        <v>2.4</v>
      </c>
      <c r="P33" s="43">
        <v>0.026</v>
      </c>
      <c r="Q33" s="45">
        <v>12</v>
      </c>
      <c r="R33" s="46">
        <v>1.5</v>
      </c>
      <c r="S33" s="47">
        <v>0.0078</v>
      </c>
      <c r="T33" s="1"/>
      <c r="U33" s="2"/>
      <c r="V33" s="3"/>
      <c r="W33" s="1"/>
      <c r="X33" s="2"/>
      <c r="Y33" s="3"/>
    </row>
    <row r="34" spans="1:25" ht="12.75">
      <c r="A34" s="4">
        <v>12.5</v>
      </c>
      <c r="B34" s="4"/>
      <c r="C34" s="2"/>
      <c r="D34" s="3"/>
      <c r="E34" s="3"/>
      <c r="F34" s="2"/>
      <c r="G34" s="3"/>
      <c r="H34" s="36">
        <v>12.5</v>
      </c>
      <c r="I34" s="34">
        <v>6</v>
      </c>
      <c r="J34" s="35">
        <v>0.2614</v>
      </c>
      <c r="K34" s="40">
        <v>12.5</v>
      </c>
      <c r="L34" s="38">
        <v>3.4</v>
      </c>
      <c r="M34" s="39">
        <v>0.0614</v>
      </c>
      <c r="N34" s="44">
        <v>12.5</v>
      </c>
      <c r="O34" s="42">
        <v>2.5</v>
      </c>
      <c r="P34" s="43">
        <v>0.0281</v>
      </c>
      <c r="Q34" s="48">
        <v>12.5</v>
      </c>
      <c r="R34" s="46">
        <v>1.6</v>
      </c>
      <c r="S34" s="47">
        <v>0.0084</v>
      </c>
      <c r="T34" s="4"/>
      <c r="U34" s="2"/>
      <c r="V34" s="3"/>
      <c r="W34" s="4"/>
      <c r="X34" s="2"/>
      <c r="Y34" s="3"/>
    </row>
    <row r="35" spans="1:25" ht="12.75">
      <c r="A35" s="1">
        <v>13</v>
      </c>
      <c r="B35" s="1"/>
      <c r="C35" s="2"/>
      <c r="D35" s="3"/>
      <c r="E35" s="3"/>
      <c r="F35" s="2"/>
      <c r="G35" s="3"/>
      <c r="H35" s="1"/>
      <c r="I35" s="2"/>
      <c r="J35" s="3"/>
      <c r="K35" s="37">
        <v>13</v>
      </c>
      <c r="L35" s="38">
        <v>3.6</v>
      </c>
      <c r="M35" s="39">
        <v>0.0663</v>
      </c>
      <c r="N35" s="41">
        <v>13</v>
      </c>
      <c r="O35" s="42">
        <v>2.6</v>
      </c>
      <c r="P35" s="43">
        <v>0.032</v>
      </c>
      <c r="Q35" s="45">
        <v>13</v>
      </c>
      <c r="R35" s="46">
        <v>1.6</v>
      </c>
      <c r="S35" s="47">
        <v>0.009</v>
      </c>
      <c r="T35" s="1"/>
      <c r="U35" s="2"/>
      <c r="V35" s="3"/>
      <c r="W35" s="1"/>
      <c r="X35" s="2"/>
      <c r="Y35" s="3"/>
    </row>
    <row r="36" spans="1:25" ht="12.75">
      <c r="A36" s="4">
        <v>13.5</v>
      </c>
      <c r="B36" s="4"/>
      <c r="C36" s="2"/>
      <c r="D36" s="3"/>
      <c r="E36" s="3"/>
      <c r="F36" s="2"/>
      <c r="G36" s="3"/>
      <c r="H36" s="4"/>
      <c r="I36" s="2"/>
      <c r="J36" s="3"/>
      <c r="K36" s="40">
        <v>13.5</v>
      </c>
      <c r="L36" s="38">
        <v>3.7</v>
      </c>
      <c r="M36" s="39">
        <v>0.0713</v>
      </c>
      <c r="N36" s="44">
        <v>13.5</v>
      </c>
      <c r="O36" s="42">
        <v>2.7</v>
      </c>
      <c r="P36" s="43">
        <v>0.0325</v>
      </c>
      <c r="Q36" s="48">
        <v>13.5</v>
      </c>
      <c r="R36" s="46">
        <v>1.7</v>
      </c>
      <c r="S36" s="47">
        <v>0.0097</v>
      </c>
      <c r="T36" s="52">
        <v>13.5</v>
      </c>
      <c r="U36" s="50">
        <v>1</v>
      </c>
      <c r="V36" s="51">
        <v>0.0026</v>
      </c>
      <c r="W36" s="4"/>
      <c r="X36" s="2"/>
      <c r="Y36" s="3"/>
    </row>
    <row r="37" spans="1:25" ht="12.75">
      <c r="A37" s="1">
        <v>14</v>
      </c>
      <c r="B37" s="1"/>
      <c r="C37" s="2"/>
      <c r="D37" s="3"/>
      <c r="E37" s="3"/>
      <c r="F37" s="2"/>
      <c r="G37" s="3"/>
      <c r="H37" s="1"/>
      <c r="I37" s="2"/>
      <c r="J37" s="3"/>
      <c r="K37" s="37">
        <v>14</v>
      </c>
      <c r="L37" s="38">
        <v>3.8</v>
      </c>
      <c r="M37" s="39">
        <v>0.0764</v>
      </c>
      <c r="N37" s="41">
        <v>14</v>
      </c>
      <c r="O37" s="42">
        <v>2.8</v>
      </c>
      <c r="P37" s="43">
        <v>0.0348</v>
      </c>
      <c r="Q37" s="45">
        <v>14</v>
      </c>
      <c r="R37" s="46">
        <v>1.8</v>
      </c>
      <c r="S37" s="47">
        <v>0.0104</v>
      </c>
      <c r="T37" s="49">
        <v>14</v>
      </c>
      <c r="U37" s="50">
        <v>1</v>
      </c>
      <c r="V37" s="51">
        <v>0.0028</v>
      </c>
      <c r="W37" s="1"/>
      <c r="X37" s="2"/>
      <c r="Y37" s="3"/>
    </row>
    <row r="38" spans="1:25" ht="12.75">
      <c r="A38" s="4">
        <v>14.5</v>
      </c>
      <c r="B38" s="4"/>
      <c r="C38" s="2"/>
      <c r="D38" s="3"/>
      <c r="E38" s="3"/>
      <c r="F38" s="2"/>
      <c r="G38" s="3"/>
      <c r="H38" s="4"/>
      <c r="I38" s="2"/>
      <c r="J38" s="3"/>
      <c r="K38" s="40">
        <v>14.5</v>
      </c>
      <c r="L38" s="38">
        <v>4</v>
      </c>
      <c r="M38" s="39">
        <v>0.0817</v>
      </c>
      <c r="N38" s="44">
        <v>14.5</v>
      </c>
      <c r="O38" s="42">
        <v>2.9</v>
      </c>
      <c r="P38" s="43">
        <v>0.0372</v>
      </c>
      <c r="Q38" s="48">
        <v>14.5</v>
      </c>
      <c r="R38" s="46">
        <v>1.8</v>
      </c>
      <c r="S38" s="47">
        <v>0.0111</v>
      </c>
      <c r="T38" s="52">
        <v>14.5</v>
      </c>
      <c r="U38" s="50">
        <v>1.1</v>
      </c>
      <c r="V38" s="51">
        <v>0.003</v>
      </c>
      <c r="W38" s="4"/>
      <c r="X38" s="2"/>
      <c r="Y38" s="3"/>
    </row>
    <row r="39" spans="1:25" ht="12.75">
      <c r="A39" s="1">
        <v>15</v>
      </c>
      <c r="B39" s="1"/>
      <c r="C39" s="2"/>
      <c r="D39" s="3"/>
      <c r="E39" s="3"/>
      <c r="F39" s="2"/>
      <c r="G39" s="3"/>
      <c r="H39" s="1"/>
      <c r="I39" s="2"/>
      <c r="J39" s="3"/>
      <c r="K39" s="37">
        <v>15</v>
      </c>
      <c r="L39" s="38">
        <v>4.1</v>
      </c>
      <c r="M39" s="39">
        <v>0.0872</v>
      </c>
      <c r="N39" s="41">
        <v>15</v>
      </c>
      <c r="O39" s="42">
        <v>3</v>
      </c>
      <c r="P39" s="43">
        <v>0.0396</v>
      </c>
      <c r="Q39" s="45">
        <v>15</v>
      </c>
      <c r="R39" s="46">
        <v>1.9</v>
      </c>
      <c r="S39" s="47">
        <v>0.0118</v>
      </c>
      <c r="T39" s="49">
        <v>15</v>
      </c>
      <c r="U39" s="50">
        <v>1.1</v>
      </c>
      <c r="V39" s="51">
        <v>0.0032</v>
      </c>
      <c r="W39" s="1"/>
      <c r="X39" s="2"/>
      <c r="Y39" s="3"/>
    </row>
    <row r="40" spans="1:25" ht="12.75">
      <c r="A40" s="4">
        <v>15.5</v>
      </c>
      <c r="B40" s="4"/>
      <c r="C40" s="2"/>
      <c r="D40" s="3"/>
      <c r="E40" s="3"/>
      <c r="F40" s="2"/>
      <c r="G40" s="3"/>
      <c r="H40" s="4"/>
      <c r="I40" s="2"/>
      <c r="J40" s="3"/>
      <c r="K40" s="40">
        <v>15.5</v>
      </c>
      <c r="L40" s="38">
        <v>4.3</v>
      </c>
      <c r="M40" s="39">
        <v>0.0928</v>
      </c>
      <c r="N40" s="44">
        <v>15.5</v>
      </c>
      <c r="O40" s="42">
        <v>3.1</v>
      </c>
      <c r="P40" s="43">
        <v>0.0422</v>
      </c>
      <c r="Q40" s="48">
        <v>15.5</v>
      </c>
      <c r="R40" s="46">
        <v>2</v>
      </c>
      <c r="S40" s="47">
        <v>0.0125</v>
      </c>
      <c r="T40" s="52">
        <v>15.5</v>
      </c>
      <c r="U40" s="50">
        <v>1.2</v>
      </c>
      <c r="V40" s="51">
        <v>0.0034</v>
      </c>
      <c r="W40" s="4"/>
      <c r="X40" s="2"/>
      <c r="Y40" s="3"/>
    </row>
    <row r="41" spans="1:25" ht="12.75">
      <c r="A41" s="1">
        <v>16</v>
      </c>
      <c r="B41" s="1"/>
      <c r="C41" s="2"/>
      <c r="D41" s="3"/>
      <c r="E41" s="3"/>
      <c r="F41" s="2"/>
      <c r="G41" s="3"/>
      <c r="H41" s="1"/>
      <c r="I41" s="2"/>
      <c r="J41" s="3"/>
      <c r="K41" s="37">
        <v>16</v>
      </c>
      <c r="L41" s="38">
        <v>4.4</v>
      </c>
      <c r="M41" s="39">
        <v>0.0987</v>
      </c>
      <c r="N41" s="41">
        <v>16</v>
      </c>
      <c r="O41" s="42">
        <v>3.2</v>
      </c>
      <c r="P41" s="43">
        <v>0.0448</v>
      </c>
      <c r="Q41" s="45">
        <v>16</v>
      </c>
      <c r="R41" s="46">
        <v>2</v>
      </c>
      <c r="S41" s="47">
        <v>0.0133</v>
      </c>
      <c r="T41" s="49">
        <v>16</v>
      </c>
      <c r="U41" s="50">
        <v>1.2</v>
      </c>
      <c r="V41" s="51">
        <v>0.0036</v>
      </c>
      <c r="W41" s="1"/>
      <c r="X41" s="2"/>
      <c r="Y41" s="3"/>
    </row>
    <row r="42" spans="1:25" ht="12.75">
      <c r="A42" s="4">
        <v>16.5</v>
      </c>
      <c r="B42" s="4"/>
      <c r="C42" s="2"/>
      <c r="D42" s="3"/>
      <c r="E42" s="3"/>
      <c r="F42" s="2"/>
      <c r="G42" s="3"/>
      <c r="H42" s="4"/>
      <c r="I42" s="2"/>
      <c r="J42" s="3"/>
      <c r="K42" s="40">
        <v>16.5</v>
      </c>
      <c r="L42" s="38">
        <v>4.5</v>
      </c>
      <c r="M42" s="39">
        <v>0.1047</v>
      </c>
      <c r="N42" s="44">
        <v>16.5</v>
      </c>
      <c r="O42" s="42">
        <v>3.3</v>
      </c>
      <c r="P42" s="43">
        <v>0.0475</v>
      </c>
      <c r="Q42" s="48">
        <v>16.5</v>
      </c>
      <c r="R42" s="46">
        <v>2.1</v>
      </c>
      <c r="S42" s="47">
        <v>0.0141</v>
      </c>
      <c r="T42" s="52">
        <v>16.5</v>
      </c>
      <c r="U42" s="50">
        <v>1.2</v>
      </c>
      <c r="V42" s="51">
        <v>0.0038</v>
      </c>
      <c r="W42" s="4"/>
      <c r="X42" s="2"/>
      <c r="Y42" s="3"/>
    </row>
    <row r="43" spans="1:25" ht="12.75">
      <c r="A43" s="1">
        <v>17</v>
      </c>
      <c r="B43" s="1"/>
      <c r="C43" s="2"/>
      <c r="D43" s="3"/>
      <c r="E43" s="3"/>
      <c r="F43" s="2"/>
      <c r="G43" s="3"/>
      <c r="H43" s="1"/>
      <c r="I43" s="2"/>
      <c r="J43" s="3"/>
      <c r="K43" s="37">
        <v>17</v>
      </c>
      <c r="L43" s="38">
        <v>4.7</v>
      </c>
      <c r="M43" s="39">
        <v>0.1109</v>
      </c>
      <c r="N43" s="41">
        <v>17</v>
      </c>
      <c r="O43" s="42">
        <v>3.4</v>
      </c>
      <c r="P43" s="43">
        <v>0.0504</v>
      </c>
      <c r="Q43" s="45">
        <v>17</v>
      </c>
      <c r="R43" s="46">
        <v>2.1</v>
      </c>
      <c r="S43" s="47">
        <v>0.0149</v>
      </c>
      <c r="T43" s="49">
        <v>17</v>
      </c>
      <c r="U43" s="50">
        <v>1.3</v>
      </c>
      <c r="V43" s="51">
        <v>0.004</v>
      </c>
      <c r="W43" s="1"/>
      <c r="X43" s="2"/>
      <c r="Y43" s="3"/>
    </row>
    <row r="44" spans="1:25" ht="12.75">
      <c r="A44" s="4">
        <v>17.5</v>
      </c>
      <c r="B44" s="4"/>
      <c r="C44" s="2"/>
      <c r="D44" s="3"/>
      <c r="E44" s="3"/>
      <c r="F44" s="2"/>
      <c r="G44" s="3"/>
      <c r="H44" s="4"/>
      <c r="I44" s="2"/>
      <c r="J44" s="3"/>
      <c r="K44" s="40">
        <v>17.5</v>
      </c>
      <c r="L44" s="38">
        <v>4.8</v>
      </c>
      <c r="M44" s="39">
        <v>0.1172</v>
      </c>
      <c r="N44" s="44">
        <v>17.5</v>
      </c>
      <c r="O44" s="42">
        <v>3.5</v>
      </c>
      <c r="P44" s="43">
        <v>0.0532</v>
      </c>
      <c r="Q44" s="48">
        <v>17.5</v>
      </c>
      <c r="R44" s="46">
        <v>2.2</v>
      </c>
      <c r="S44" s="47">
        <v>0.0157</v>
      </c>
      <c r="T44" s="52">
        <v>17.5</v>
      </c>
      <c r="U44" s="50">
        <v>1.3</v>
      </c>
      <c r="V44" s="51">
        <v>0.0042</v>
      </c>
      <c r="W44" s="4"/>
      <c r="X44" s="2"/>
      <c r="Y44" s="3"/>
    </row>
    <row r="45" spans="1:25" ht="12.75">
      <c r="A45" s="1">
        <v>18</v>
      </c>
      <c r="B45" s="1"/>
      <c r="C45" s="2"/>
      <c r="D45" s="3"/>
      <c r="E45" s="3"/>
      <c r="F45" s="2"/>
      <c r="G45" s="3"/>
      <c r="H45" s="1"/>
      <c r="I45" s="2"/>
      <c r="J45" s="3"/>
      <c r="K45" s="37">
        <v>18</v>
      </c>
      <c r="L45" s="38">
        <v>4.9</v>
      </c>
      <c r="M45" s="39">
        <v>0.1238</v>
      </c>
      <c r="N45" s="41">
        <v>18</v>
      </c>
      <c r="O45" s="42">
        <v>3.6</v>
      </c>
      <c r="P45" s="43">
        <v>0.0562</v>
      </c>
      <c r="Q45" s="45">
        <v>18</v>
      </c>
      <c r="R45" s="46">
        <v>2.3</v>
      </c>
      <c r="S45" s="47">
        <v>0.0166</v>
      </c>
      <c r="T45" s="49">
        <v>18</v>
      </c>
      <c r="U45" s="50">
        <v>1.3</v>
      </c>
      <c r="V45" s="51">
        <v>0.0044</v>
      </c>
      <c r="W45" s="1"/>
      <c r="X45" s="2"/>
      <c r="Y45" s="3"/>
    </row>
    <row r="46" spans="1:25" ht="12.75">
      <c r="A46" s="4">
        <v>18.5</v>
      </c>
      <c r="B46" s="4"/>
      <c r="C46" s="2"/>
      <c r="D46" s="3"/>
      <c r="E46" s="3"/>
      <c r="F46" s="2"/>
      <c r="G46" s="3"/>
      <c r="H46" s="4"/>
      <c r="I46" s="2"/>
      <c r="J46" s="3"/>
      <c r="K46" s="40">
        <v>18.5</v>
      </c>
      <c r="L46" s="38">
        <v>5.1</v>
      </c>
      <c r="M46" s="39">
        <v>0.1305</v>
      </c>
      <c r="N46" s="44">
        <v>18.5</v>
      </c>
      <c r="O46" s="42">
        <v>3.7</v>
      </c>
      <c r="P46" s="43">
        <v>0.0592</v>
      </c>
      <c r="Q46" s="48">
        <v>18.5</v>
      </c>
      <c r="R46" s="46">
        <v>2.3</v>
      </c>
      <c r="S46" s="47">
        <v>0.0175</v>
      </c>
      <c r="T46" s="52">
        <v>18.5</v>
      </c>
      <c r="U46" s="50">
        <v>1.4</v>
      </c>
      <c r="V46" s="51">
        <v>0.0047</v>
      </c>
      <c r="W46" s="56">
        <v>18.5</v>
      </c>
      <c r="X46" s="54">
        <v>1</v>
      </c>
      <c r="Y46" s="55">
        <v>0.0021</v>
      </c>
    </row>
    <row r="47" spans="1:25" ht="12.75">
      <c r="A47" s="1">
        <v>19</v>
      </c>
      <c r="B47" s="1"/>
      <c r="C47" s="2"/>
      <c r="D47" s="3"/>
      <c r="E47" s="3"/>
      <c r="F47" s="2"/>
      <c r="G47" s="3"/>
      <c r="H47" s="1"/>
      <c r="I47" s="2"/>
      <c r="J47" s="3"/>
      <c r="K47" s="37">
        <v>19</v>
      </c>
      <c r="L47" s="38">
        <v>5.2</v>
      </c>
      <c r="M47" s="39">
        <v>0.1374</v>
      </c>
      <c r="N47" s="41">
        <v>19</v>
      </c>
      <c r="O47" s="42">
        <v>3.8</v>
      </c>
      <c r="P47" s="43">
        <v>0.0623</v>
      </c>
      <c r="Q47" s="45">
        <v>19</v>
      </c>
      <c r="R47" s="46">
        <v>2.4</v>
      </c>
      <c r="S47" s="47">
        <v>0.0184</v>
      </c>
      <c r="T47" s="49">
        <v>19</v>
      </c>
      <c r="U47" s="50">
        <v>1.4</v>
      </c>
      <c r="V47" s="51">
        <v>0.0049</v>
      </c>
      <c r="W47" s="53">
        <v>19</v>
      </c>
      <c r="X47" s="54">
        <v>1</v>
      </c>
      <c r="Y47" s="55">
        <v>0.0022</v>
      </c>
    </row>
    <row r="48" spans="1:25" ht="12.75">
      <c r="A48" s="4">
        <v>19.5</v>
      </c>
      <c r="B48" s="4"/>
      <c r="C48" s="2"/>
      <c r="D48" s="3"/>
      <c r="E48" s="3"/>
      <c r="F48" s="2"/>
      <c r="G48" s="3"/>
      <c r="H48" s="4"/>
      <c r="I48" s="2"/>
      <c r="J48" s="3"/>
      <c r="K48" s="40">
        <v>19.5</v>
      </c>
      <c r="L48" s="38">
        <v>5.4</v>
      </c>
      <c r="M48" s="39">
        <v>0.1444</v>
      </c>
      <c r="N48" s="44">
        <v>19.5</v>
      </c>
      <c r="O48" s="42">
        <v>3.9</v>
      </c>
      <c r="P48" s="43">
        <v>0.0655</v>
      </c>
      <c r="Q48" s="48">
        <v>19.5</v>
      </c>
      <c r="R48" s="46">
        <v>2.5</v>
      </c>
      <c r="S48" s="47">
        <v>0.0193</v>
      </c>
      <c r="T48" s="52">
        <v>19.5</v>
      </c>
      <c r="U48" s="50">
        <v>1.5</v>
      </c>
      <c r="V48" s="51">
        <v>0.0051</v>
      </c>
      <c r="W48" s="56">
        <v>19.5</v>
      </c>
      <c r="X48" s="54">
        <v>1.1</v>
      </c>
      <c r="Y48" s="55">
        <v>0.0023</v>
      </c>
    </row>
    <row r="49" spans="1:31" ht="12.75">
      <c r="A49" s="1">
        <v>20</v>
      </c>
      <c r="B49" s="1"/>
      <c r="C49" s="2"/>
      <c r="D49" s="3"/>
      <c r="E49" s="3"/>
      <c r="F49" s="2"/>
      <c r="G49" s="3"/>
      <c r="H49" s="1"/>
      <c r="I49" s="2"/>
      <c r="J49" s="3"/>
      <c r="K49" s="37">
        <v>20</v>
      </c>
      <c r="L49" s="38">
        <v>5.5</v>
      </c>
      <c r="M49" s="39">
        <v>0.1517</v>
      </c>
      <c r="N49" s="41">
        <v>20</v>
      </c>
      <c r="O49" s="42">
        <v>4</v>
      </c>
      <c r="P49" s="43">
        <v>0.0687</v>
      </c>
      <c r="Q49" s="45">
        <v>20</v>
      </c>
      <c r="R49" s="46">
        <v>2.5</v>
      </c>
      <c r="S49" s="47">
        <v>0.0202</v>
      </c>
      <c r="T49" s="49">
        <v>20</v>
      </c>
      <c r="U49" s="50">
        <v>1.5</v>
      </c>
      <c r="V49" s="51">
        <v>0.0054</v>
      </c>
      <c r="W49" s="53">
        <v>20</v>
      </c>
      <c r="X49" s="54">
        <v>1.1</v>
      </c>
      <c r="Y49" s="55">
        <v>0.0024</v>
      </c>
      <c r="AD49" s="281"/>
      <c r="AE49" s="281"/>
    </row>
    <row r="50" spans="1:31" ht="12.75">
      <c r="A50" s="4">
        <v>20.5</v>
      </c>
      <c r="B50" s="1"/>
      <c r="C50" s="2"/>
      <c r="D50" s="3"/>
      <c r="E50" s="3"/>
      <c r="F50" s="2"/>
      <c r="G50" s="3"/>
      <c r="H50" s="1"/>
      <c r="I50" s="2"/>
      <c r="J50" s="3"/>
      <c r="K50" s="40">
        <v>20.5</v>
      </c>
      <c r="L50" s="38">
        <v>5.65</v>
      </c>
      <c r="M50" s="39">
        <v>0.1592</v>
      </c>
      <c r="N50" s="44">
        <v>20.5</v>
      </c>
      <c r="O50" s="42">
        <v>4.15</v>
      </c>
      <c r="P50" s="43">
        <v>0.07205</v>
      </c>
      <c r="Q50" s="48">
        <v>20.5</v>
      </c>
      <c r="R50" s="46">
        <v>2.55</v>
      </c>
      <c r="S50" s="47">
        <v>0.0212</v>
      </c>
      <c r="T50" s="52">
        <v>20.5</v>
      </c>
      <c r="U50" s="50">
        <v>1.55</v>
      </c>
      <c r="V50" s="51">
        <v>0.0056500000000000005</v>
      </c>
      <c r="W50" s="56">
        <v>20.5</v>
      </c>
      <c r="X50" s="54">
        <v>1.1</v>
      </c>
      <c r="Y50" s="55">
        <v>0.0025</v>
      </c>
      <c r="AD50" s="281"/>
      <c r="AE50" s="281"/>
    </row>
    <row r="51" spans="1:31" ht="12.75">
      <c r="A51" s="1">
        <v>21</v>
      </c>
      <c r="B51" s="4"/>
      <c r="C51" s="2"/>
      <c r="D51" s="3"/>
      <c r="E51" s="3"/>
      <c r="F51" s="2"/>
      <c r="G51" s="3"/>
      <c r="H51" s="4"/>
      <c r="I51" s="2"/>
      <c r="J51" s="3"/>
      <c r="K51" s="37">
        <v>21</v>
      </c>
      <c r="L51" s="38">
        <v>5.8</v>
      </c>
      <c r="M51" s="39">
        <v>0.1667</v>
      </c>
      <c r="N51" s="41">
        <v>21</v>
      </c>
      <c r="O51" s="42">
        <v>4.3</v>
      </c>
      <c r="P51" s="43">
        <v>0.0754</v>
      </c>
      <c r="Q51" s="45">
        <v>21</v>
      </c>
      <c r="R51" s="46">
        <v>2.6</v>
      </c>
      <c r="S51" s="47">
        <v>0.0222</v>
      </c>
      <c r="T51" s="49">
        <v>21</v>
      </c>
      <c r="U51" s="50">
        <v>1.6</v>
      </c>
      <c r="V51" s="51">
        <v>0.0059</v>
      </c>
      <c r="W51" s="53">
        <v>21</v>
      </c>
      <c r="X51" s="54">
        <v>1.1</v>
      </c>
      <c r="Y51" s="55">
        <v>0.0026</v>
      </c>
      <c r="AC51" s="280"/>
      <c r="AD51" s="281"/>
      <c r="AE51" s="281"/>
    </row>
    <row r="52" spans="1:31" ht="12.75">
      <c r="A52" s="4">
        <v>21.5</v>
      </c>
      <c r="B52" s="4"/>
      <c r="C52" s="2"/>
      <c r="D52" s="3"/>
      <c r="E52" s="3"/>
      <c r="F52" s="2"/>
      <c r="G52" s="3"/>
      <c r="H52" s="4"/>
      <c r="I52" s="2"/>
      <c r="J52" s="3"/>
      <c r="K52" s="4"/>
      <c r="L52" s="2"/>
      <c r="M52" s="3"/>
      <c r="N52" s="44">
        <v>21.5</v>
      </c>
      <c r="O52" s="42">
        <v>4.4</v>
      </c>
      <c r="P52" s="43">
        <v>0.07894999999999999</v>
      </c>
      <c r="Q52" s="48">
        <v>21.5</v>
      </c>
      <c r="R52" s="46">
        <v>2.7</v>
      </c>
      <c r="S52" s="47">
        <v>0.0232</v>
      </c>
      <c r="T52" s="52">
        <v>21.5</v>
      </c>
      <c r="U52" s="50">
        <v>1.6</v>
      </c>
      <c r="V52" s="51">
        <v>0.00615</v>
      </c>
      <c r="W52" s="56">
        <v>21.5</v>
      </c>
      <c r="X52" s="54">
        <v>1.15</v>
      </c>
      <c r="Y52" s="55">
        <v>0.00275</v>
      </c>
      <c r="AD52" s="281"/>
      <c r="AE52" s="281"/>
    </row>
    <row r="53" spans="1:31" ht="12.75">
      <c r="A53" s="1">
        <v>22</v>
      </c>
      <c r="B53" s="1"/>
      <c r="C53" s="2"/>
      <c r="D53" s="3"/>
      <c r="E53" s="3"/>
      <c r="F53" s="2"/>
      <c r="G53" s="3"/>
      <c r="H53" s="1"/>
      <c r="I53" s="2"/>
      <c r="J53" s="3"/>
      <c r="K53" s="1"/>
      <c r="L53" s="2"/>
      <c r="M53" s="3"/>
      <c r="N53" s="41">
        <v>22</v>
      </c>
      <c r="O53" s="42">
        <v>4.5</v>
      </c>
      <c r="P53" s="43">
        <v>0.0825</v>
      </c>
      <c r="Q53" s="45">
        <v>22</v>
      </c>
      <c r="R53" s="46">
        <v>2.8</v>
      </c>
      <c r="S53" s="47">
        <v>0.0242</v>
      </c>
      <c r="T53" s="49">
        <v>22</v>
      </c>
      <c r="U53" s="50">
        <v>1.6</v>
      </c>
      <c r="V53" s="51">
        <v>0.0064</v>
      </c>
      <c r="W53" s="53">
        <v>22</v>
      </c>
      <c r="X53" s="54">
        <v>1.2</v>
      </c>
      <c r="Y53" s="55">
        <v>0.0029</v>
      </c>
      <c r="AC53" s="280"/>
      <c r="AD53" s="281"/>
      <c r="AE53" s="281"/>
    </row>
    <row r="54" spans="1:31" ht="12.75">
      <c r="A54" s="4">
        <v>22.5</v>
      </c>
      <c r="B54" s="1"/>
      <c r="C54" s="2"/>
      <c r="D54" s="3"/>
      <c r="E54" s="3"/>
      <c r="F54" s="2"/>
      <c r="G54" s="3"/>
      <c r="H54" s="1"/>
      <c r="I54" s="2"/>
      <c r="J54" s="3"/>
      <c r="K54" s="1"/>
      <c r="L54" s="2"/>
      <c r="M54" s="3"/>
      <c r="N54" s="44">
        <v>22.5</v>
      </c>
      <c r="O54" s="42">
        <v>4.6</v>
      </c>
      <c r="P54" s="43">
        <v>0.08615</v>
      </c>
      <c r="Q54" s="48">
        <v>22.5</v>
      </c>
      <c r="R54" s="46">
        <v>2.85</v>
      </c>
      <c r="S54" s="47">
        <v>0.02525</v>
      </c>
      <c r="T54" s="52">
        <v>22.5</v>
      </c>
      <c r="U54" s="50">
        <v>1.65</v>
      </c>
      <c r="V54" s="51">
        <v>0.0067</v>
      </c>
      <c r="W54" s="56">
        <v>22.5</v>
      </c>
      <c r="X54" s="54">
        <v>1.2</v>
      </c>
      <c r="Y54" s="55">
        <v>0.003</v>
      </c>
      <c r="AD54" s="281"/>
      <c r="AE54" s="281"/>
    </row>
    <row r="55" spans="1:31" ht="12.75">
      <c r="A55" s="1">
        <v>23</v>
      </c>
      <c r="B55" s="4"/>
      <c r="C55" s="2"/>
      <c r="D55" s="3"/>
      <c r="E55" s="3"/>
      <c r="F55" s="2"/>
      <c r="G55" s="3"/>
      <c r="H55" s="4"/>
      <c r="I55" s="2"/>
      <c r="J55" s="3"/>
      <c r="K55" s="4"/>
      <c r="L55" s="2"/>
      <c r="M55" s="3"/>
      <c r="N55" s="41">
        <v>23</v>
      </c>
      <c r="O55" s="42">
        <v>4.7</v>
      </c>
      <c r="P55" s="43">
        <v>0.0898</v>
      </c>
      <c r="Q55" s="45">
        <v>23</v>
      </c>
      <c r="R55" s="46">
        <v>2.9</v>
      </c>
      <c r="S55" s="47">
        <v>0.0263</v>
      </c>
      <c r="T55" s="49">
        <v>23</v>
      </c>
      <c r="U55" s="50">
        <v>1.7</v>
      </c>
      <c r="V55" s="51">
        <v>0.007</v>
      </c>
      <c r="W55" s="53">
        <v>23</v>
      </c>
      <c r="X55" s="54">
        <v>1.2</v>
      </c>
      <c r="Y55" s="55">
        <v>0.0031</v>
      </c>
      <c r="AC55" s="280"/>
      <c r="AD55" s="281"/>
      <c r="AE55" s="281"/>
    </row>
    <row r="56" spans="1:31" ht="12.75">
      <c r="A56" s="4">
        <v>23.5</v>
      </c>
      <c r="B56" s="4"/>
      <c r="C56" s="2"/>
      <c r="D56" s="3"/>
      <c r="E56" s="3"/>
      <c r="F56" s="2"/>
      <c r="G56" s="3"/>
      <c r="H56" s="4"/>
      <c r="I56" s="2"/>
      <c r="J56" s="3"/>
      <c r="K56" s="4"/>
      <c r="L56" s="2"/>
      <c r="M56" s="3"/>
      <c r="N56" s="44">
        <v>23.5</v>
      </c>
      <c r="O56" s="42">
        <v>4.8</v>
      </c>
      <c r="P56" s="43">
        <v>0.09365000000000001</v>
      </c>
      <c r="Q56" s="48">
        <v>23.5</v>
      </c>
      <c r="R56" s="46">
        <v>2.95</v>
      </c>
      <c r="S56" s="47">
        <v>0.0274</v>
      </c>
      <c r="T56" s="52">
        <v>23.5</v>
      </c>
      <c r="U56" s="50">
        <v>1.75</v>
      </c>
      <c r="V56" s="51">
        <v>0.0073</v>
      </c>
      <c r="W56" s="56">
        <v>23.5</v>
      </c>
      <c r="X56" s="54">
        <v>1.25</v>
      </c>
      <c r="Y56" s="55">
        <v>0.00325</v>
      </c>
      <c r="AD56" s="281"/>
      <c r="AE56" s="281"/>
    </row>
    <row r="57" spans="1:31" ht="12.75">
      <c r="A57" s="1">
        <v>24</v>
      </c>
      <c r="B57" s="1"/>
      <c r="C57" s="2"/>
      <c r="D57" s="3"/>
      <c r="E57" s="3"/>
      <c r="F57" s="2"/>
      <c r="G57" s="3"/>
      <c r="H57" s="1"/>
      <c r="I57" s="2"/>
      <c r="J57" s="3"/>
      <c r="K57" s="1"/>
      <c r="L57" s="2"/>
      <c r="M57" s="3"/>
      <c r="N57" s="41">
        <v>24</v>
      </c>
      <c r="O57" s="42">
        <v>4.9</v>
      </c>
      <c r="P57" s="43">
        <v>0.0975</v>
      </c>
      <c r="Q57" s="45">
        <v>24</v>
      </c>
      <c r="R57" s="46">
        <v>3</v>
      </c>
      <c r="S57" s="47">
        <v>0.0285</v>
      </c>
      <c r="T57" s="49">
        <v>24</v>
      </c>
      <c r="U57" s="50">
        <v>1.8</v>
      </c>
      <c r="V57" s="51">
        <v>0.0076</v>
      </c>
      <c r="W57" s="53">
        <v>24</v>
      </c>
      <c r="X57" s="54">
        <v>1.3</v>
      </c>
      <c r="Y57" s="55">
        <v>0.0034</v>
      </c>
      <c r="AC57" s="280"/>
      <c r="AD57" s="281"/>
      <c r="AE57" s="281"/>
    </row>
    <row r="58" spans="1:31" ht="12.75">
      <c r="A58" s="4">
        <v>24.5</v>
      </c>
      <c r="B58" s="1"/>
      <c r="C58" s="2"/>
      <c r="D58" s="3"/>
      <c r="E58" s="3"/>
      <c r="F58" s="2"/>
      <c r="G58" s="3"/>
      <c r="H58" s="1"/>
      <c r="I58" s="2"/>
      <c r="J58" s="3"/>
      <c r="K58" s="1"/>
      <c r="L58" s="2"/>
      <c r="M58" s="3"/>
      <c r="N58" s="44">
        <v>24.5</v>
      </c>
      <c r="O58" s="42">
        <v>5</v>
      </c>
      <c r="P58" s="43">
        <v>0.1015</v>
      </c>
      <c r="Q58" s="48">
        <v>24.5</v>
      </c>
      <c r="R58" s="46">
        <v>3.05</v>
      </c>
      <c r="S58" s="47">
        <v>0.029650000000000003</v>
      </c>
      <c r="T58" s="52">
        <v>24.5</v>
      </c>
      <c r="U58" s="50">
        <v>1.85</v>
      </c>
      <c r="V58" s="51">
        <v>0.0079</v>
      </c>
      <c r="W58" s="56">
        <v>24.5</v>
      </c>
      <c r="X58" s="54">
        <v>1.35</v>
      </c>
      <c r="Y58" s="55">
        <v>0.0034999999999999996</v>
      </c>
      <c r="AD58" s="281"/>
      <c r="AE58" s="281"/>
    </row>
    <row r="59" spans="1:31" ht="12.75">
      <c r="A59" s="1">
        <v>25</v>
      </c>
      <c r="B59" s="4"/>
      <c r="C59" s="2"/>
      <c r="D59" s="3"/>
      <c r="E59" s="3"/>
      <c r="F59" s="2"/>
      <c r="G59" s="3"/>
      <c r="H59" s="4"/>
      <c r="I59" s="2"/>
      <c r="J59" s="3"/>
      <c r="K59" s="4"/>
      <c r="L59" s="2"/>
      <c r="M59" s="3"/>
      <c r="N59" s="41">
        <v>25</v>
      </c>
      <c r="O59" s="42">
        <v>5.1</v>
      </c>
      <c r="P59" s="43">
        <v>0.1055</v>
      </c>
      <c r="Q59" s="45">
        <v>25</v>
      </c>
      <c r="R59" s="46">
        <v>3.1</v>
      </c>
      <c r="S59" s="47">
        <v>0.0308</v>
      </c>
      <c r="T59" s="49">
        <v>25</v>
      </c>
      <c r="U59" s="50">
        <v>1.9</v>
      </c>
      <c r="V59" s="51">
        <v>0.0082</v>
      </c>
      <c r="W59" s="53">
        <v>25</v>
      </c>
      <c r="X59" s="54">
        <v>1.4</v>
      </c>
      <c r="Y59" s="55">
        <v>0.0036</v>
      </c>
      <c r="AC59" s="280"/>
      <c r="AD59" s="281"/>
      <c r="AE59" s="281"/>
    </row>
    <row r="60" spans="1:31" ht="12.75">
      <c r="A60" s="4">
        <v>25.5</v>
      </c>
      <c r="B60" s="4"/>
      <c r="C60" s="2"/>
      <c r="D60" s="3"/>
      <c r="E60" s="3"/>
      <c r="F60" s="2"/>
      <c r="G60" s="3"/>
      <c r="H60" s="4"/>
      <c r="I60" s="2"/>
      <c r="J60" s="3"/>
      <c r="K60" s="4"/>
      <c r="L60" s="2"/>
      <c r="M60" s="3"/>
      <c r="N60" s="44">
        <v>25.5</v>
      </c>
      <c r="O60" s="42">
        <v>5.2</v>
      </c>
      <c r="P60" s="43">
        <v>0.10965</v>
      </c>
      <c r="Q60" s="48">
        <v>25.5</v>
      </c>
      <c r="R60" s="46">
        <v>3.2</v>
      </c>
      <c r="S60" s="47">
        <v>0.03205</v>
      </c>
      <c r="T60" s="52">
        <v>25.5</v>
      </c>
      <c r="U60" s="50">
        <v>1.9</v>
      </c>
      <c r="V60" s="51">
        <v>0.0085</v>
      </c>
      <c r="W60" s="56">
        <v>25.5</v>
      </c>
      <c r="X60" s="54">
        <v>1.4</v>
      </c>
      <c r="Y60" s="55">
        <v>0.00375</v>
      </c>
      <c r="AD60" s="281"/>
      <c r="AE60" s="281"/>
    </row>
    <row r="61" spans="1:31" ht="12.75">
      <c r="A61" s="1">
        <v>26</v>
      </c>
      <c r="B61" s="1"/>
      <c r="C61" s="2"/>
      <c r="D61" s="3"/>
      <c r="E61" s="3"/>
      <c r="F61" s="2"/>
      <c r="G61" s="3"/>
      <c r="H61" s="1"/>
      <c r="I61" s="2"/>
      <c r="J61" s="3"/>
      <c r="K61" s="1"/>
      <c r="L61" s="2"/>
      <c r="M61" s="3"/>
      <c r="N61" s="41">
        <v>26</v>
      </c>
      <c r="O61" s="42">
        <v>5.3</v>
      </c>
      <c r="P61" s="43">
        <v>0.1138</v>
      </c>
      <c r="Q61" s="45">
        <v>26</v>
      </c>
      <c r="R61" s="46">
        <v>3.3</v>
      </c>
      <c r="S61" s="47">
        <v>0.0333</v>
      </c>
      <c r="T61" s="49">
        <v>26</v>
      </c>
      <c r="U61" s="50">
        <v>1.9</v>
      </c>
      <c r="V61" s="51">
        <v>0.0088</v>
      </c>
      <c r="W61" s="53">
        <v>26</v>
      </c>
      <c r="X61" s="54">
        <v>1.4</v>
      </c>
      <c r="Y61" s="55">
        <v>0.0039</v>
      </c>
      <c r="AC61" s="280"/>
      <c r="AD61" s="281"/>
      <c r="AE61" s="281"/>
    </row>
    <row r="62" spans="1:31" ht="12.75">
      <c r="A62" s="4">
        <v>26.5</v>
      </c>
      <c r="B62" s="1"/>
      <c r="C62" s="2"/>
      <c r="D62" s="3"/>
      <c r="E62" s="3"/>
      <c r="F62" s="2"/>
      <c r="G62" s="3"/>
      <c r="H62" s="1"/>
      <c r="I62" s="2"/>
      <c r="J62" s="3"/>
      <c r="K62" s="1"/>
      <c r="L62" s="2"/>
      <c r="M62" s="3"/>
      <c r="N62" s="44">
        <v>26.5</v>
      </c>
      <c r="O62" s="42">
        <v>5.4</v>
      </c>
      <c r="P62" s="43">
        <v>0.1181</v>
      </c>
      <c r="Q62" s="48">
        <v>26.5</v>
      </c>
      <c r="R62" s="46">
        <v>3.35</v>
      </c>
      <c r="S62" s="47">
        <v>0.03455</v>
      </c>
      <c r="T62" s="52">
        <v>26.5</v>
      </c>
      <c r="U62" s="50">
        <v>1.95</v>
      </c>
      <c r="V62" s="51">
        <v>0.0091</v>
      </c>
      <c r="W62" s="56">
        <v>26.5</v>
      </c>
      <c r="X62" s="54">
        <v>1.45</v>
      </c>
      <c r="Y62" s="55">
        <v>0.00405</v>
      </c>
      <c r="AD62" s="281"/>
      <c r="AE62" s="281"/>
    </row>
    <row r="63" spans="1:31" ht="12.75">
      <c r="A63" s="1">
        <v>27</v>
      </c>
      <c r="B63" s="4"/>
      <c r="C63" s="2"/>
      <c r="D63" s="3"/>
      <c r="E63" s="3"/>
      <c r="F63" s="2"/>
      <c r="G63" s="3"/>
      <c r="H63" s="4"/>
      <c r="I63" s="2"/>
      <c r="J63" s="3"/>
      <c r="K63" s="4"/>
      <c r="L63" s="2"/>
      <c r="M63" s="3"/>
      <c r="N63" s="41">
        <v>27</v>
      </c>
      <c r="O63" s="42">
        <v>5.5</v>
      </c>
      <c r="P63" s="43">
        <v>0.1224</v>
      </c>
      <c r="Q63" s="45">
        <v>27</v>
      </c>
      <c r="R63" s="46">
        <v>3.4</v>
      </c>
      <c r="S63" s="47">
        <v>0.0358</v>
      </c>
      <c r="T63" s="49">
        <v>27</v>
      </c>
      <c r="U63" s="50">
        <v>2</v>
      </c>
      <c r="V63" s="51">
        <v>0.0094</v>
      </c>
      <c r="W63" s="53">
        <v>27</v>
      </c>
      <c r="X63" s="54">
        <v>1.5</v>
      </c>
      <c r="Y63" s="55">
        <v>0.0042</v>
      </c>
      <c r="AC63" s="280"/>
      <c r="AD63" s="281"/>
      <c r="AE63" s="281"/>
    </row>
    <row r="64" spans="1:31" ht="12.75">
      <c r="A64" s="4">
        <v>27.5</v>
      </c>
      <c r="B64" s="4"/>
      <c r="C64" s="2"/>
      <c r="D64" s="3"/>
      <c r="E64" s="3"/>
      <c r="F64" s="2"/>
      <c r="G64" s="3"/>
      <c r="H64" s="4"/>
      <c r="I64" s="2"/>
      <c r="J64" s="3"/>
      <c r="K64" s="4"/>
      <c r="L64" s="2"/>
      <c r="M64" s="3"/>
      <c r="N64" s="44">
        <v>27.5</v>
      </c>
      <c r="O64" s="42">
        <v>5.6</v>
      </c>
      <c r="P64" s="43">
        <v>0.06776499999999999</v>
      </c>
      <c r="Q64" s="48">
        <v>27.5</v>
      </c>
      <c r="R64" s="46">
        <v>3.45</v>
      </c>
      <c r="S64" s="47">
        <v>0.03705</v>
      </c>
      <c r="T64" s="52">
        <v>27.5</v>
      </c>
      <c r="U64" s="50">
        <v>2.05</v>
      </c>
      <c r="V64" s="51">
        <v>0.00975</v>
      </c>
      <c r="W64" s="56">
        <v>27.5</v>
      </c>
      <c r="X64" s="54">
        <v>1.5</v>
      </c>
      <c r="Y64" s="55">
        <v>0.00435</v>
      </c>
      <c r="AD64" s="281"/>
      <c r="AE64" s="281"/>
    </row>
    <row r="65" spans="1:31" ht="12.75">
      <c r="A65" s="1">
        <v>28</v>
      </c>
      <c r="B65" s="1"/>
      <c r="C65" s="2"/>
      <c r="D65" s="3"/>
      <c r="E65" s="3"/>
      <c r="F65" s="2"/>
      <c r="G65" s="3"/>
      <c r="H65" s="1"/>
      <c r="I65" s="2"/>
      <c r="J65" s="3"/>
      <c r="K65" s="1"/>
      <c r="L65" s="2"/>
      <c r="M65" s="3"/>
      <c r="N65" s="41">
        <v>28</v>
      </c>
      <c r="O65" s="42">
        <v>5.7</v>
      </c>
      <c r="P65" s="43">
        <v>0.01313</v>
      </c>
      <c r="Q65" s="45">
        <v>28</v>
      </c>
      <c r="R65" s="46">
        <v>3.5</v>
      </c>
      <c r="S65" s="47">
        <v>0.0383</v>
      </c>
      <c r="T65" s="49">
        <v>28</v>
      </c>
      <c r="U65" s="50">
        <v>2.1</v>
      </c>
      <c r="V65" s="51">
        <v>0.0101</v>
      </c>
      <c r="W65" s="53">
        <v>28</v>
      </c>
      <c r="X65" s="54">
        <v>1.5</v>
      </c>
      <c r="Y65" s="55">
        <v>0.0045</v>
      </c>
      <c r="AC65" s="280"/>
      <c r="AD65" s="281"/>
      <c r="AE65" s="281"/>
    </row>
    <row r="66" spans="1:31" ht="12.75">
      <c r="A66" s="4">
        <v>28.5</v>
      </c>
      <c r="B66" s="1"/>
      <c r="C66" s="2"/>
      <c r="D66" s="3"/>
      <c r="E66" s="3"/>
      <c r="F66" s="2"/>
      <c r="G66" s="3"/>
      <c r="H66" s="1"/>
      <c r="I66" s="2"/>
      <c r="J66" s="3"/>
      <c r="K66" s="1"/>
      <c r="L66" s="2"/>
      <c r="M66" s="3"/>
      <c r="N66" s="44">
        <v>28.5</v>
      </c>
      <c r="O66" s="42">
        <v>5.8</v>
      </c>
      <c r="P66" s="43">
        <v>0.076865</v>
      </c>
      <c r="Q66" s="48">
        <v>28.5</v>
      </c>
      <c r="R66" s="46">
        <v>3.6</v>
      </c>
      <c r="S66" s="47">
        <v>0.039650000000000005</v>
      </c>
      <c r="T66" s="52">
        <v>28.5</v>
      </c>
      <c r="U66" s="50">
        <v>2.15</v>
      </c>
      <c r="V66" s="51">
        <v>0.010450000000000001</v>
      </c>
      <c r="W66" s="56">
        <v>28.5</v>
      </c>
      <c r="X66" s="54">
        <v>1.55</v>
      </c>
      <c r="Y66" s="55">
        <v>0.00465</v>
      </c>
      <c r="AD66" s="281"/>
      <c r="AE66" s="281"/>
    </row>
    <row r="67" spans="1:31" ht="12.75">
      <c r="A67" s="1">
        <v>29</v>
      </c>
      <c r="B67" s="4"/>
      <c r="C67" s="2"/>
      <c r="D67" s="3"/>
      <c r="E67" s="3"/>
      <c r="F67" s="2"/>
      <c r="G67" s="3"/>
      <c r="H67" s="4"/>
      <c r="I67" s="2"/>
      <c r="J67" s="3"/>
      <c r="K67" s="4"/>
      <c r="L67" s="2"/>
      <c r="M67" s="3"/>
      <c r="N67" s="41">
        <v>29</v>
      </c>
      <c r="O67" s="42">
        <v>5.9</v>
      </c>
      <c r="P67" s="43">
        <v>0.1406</v>
      </c>
      <c r="Q67" s="45">
        <v>29</v>
      </c>
      <c r="R67" s="46">
        <v>3.7</v>
      </c>
      <c r="S67" s="47">
        <v>0.041</v>
      </c>
      <c r="T67" s="49">
        <v>29</v>
      </c>
      <c r="U67" s="50">
        <v>2.2</v>
      </c>
      <c r="V67" s="51">
        <v>0.0108</v>
      </c>
      <c r="W67" s="53">
        <v>29</v>
      </c>
      <c r="X67" s="54">
        <v>1.6</v>
      </c>
      <c r="Y67" s="55">
        <v>0.0048</v>
      </c>
      <c r="AC67" s="280"/>
      <c r="AD67" s="281"/>
      <c r="AE67" s="281"/>
    </row>
    <row r="68" spans="1:31" ht="12.75">
      <c r="A68" s="4">
        <v>29.5</v>
      </c>
      <c r="B68" s="4"/>
      <c r="C68" s="2"/>
      <c r="D68" s="3"/>
      <c r="E68" s="3"/>
      <c r="F68" s="2"/>
      <c r="G68" s="3"/>
      <c r="H68" s="4"/>
      <c r="I68" s="2"/>
      <c r="J68" s="3"/>
      <c r="K68" s="4"/>
      <c r="L68" s="2"/>
      <c r="M68" s="3"/>
      <c r="N68" s="4"/>
      <c r="O68" s="2"/>
      <c r="P68" s="3"/>
      <c r="Q68" s="48">
        <v>29.5</v>
      </c>
      <c r="R68" s="46">
        <v>3.75</v>
      </c>
      <c r="S68" s="47">
        <v>0.04235</v>
      </c>
      <c r="T68" s="52">
        <v>29.5</v>
      </c>
      <c r="U68" s="50">
        <v>2.2</v>
      </c>
      <c r="V68" s="51">
        <v>0.011</v>
      </c>
      <c r="W68" s="56">
        <v>29.5</v>
      </c>
      <c r="X68" s="54">
        <v>1.6</v>
      </c>
      <c r="Y68" s="55">
        <v>0.0049499999999999995</v>
      </c>
      <c r="AD68" s="281"/>
      <c r="AE68" s="281"/>
    </row>
    <row r="69" spans="1:31" ht="12.75">
      <c r="A69" s="1">
        <v>30</v>
      </c>
      <c r="B69" s="1"/>
      <c r="C69" s="2"/>
      <c r="D69" s="3"/>
      <c r="E69" s="3"/>
      <c r="F69" s="2"/>
      <c r="G69" s="3"/>
      <c r="H69" s="1"/>
      <c r="I69" s="2"/>
      <c r="J69" s="3"/>
      <c r="K69" s="1"/>
      <c r="L69" s="2"/>
      <c r="M69" s="3"/>
      <c r="N69" s="1"/>
      <c r="O69" s="2"/>
      <c r="P69" s="3"/>
      <c r="Q69" s="45">
        <v>30</v>
      </c>
      <c r="R69" s="46">
        <v>3.8</v>
      </c>
      <c r="S69" s="47">
        <v>0.0437</v>
      </c>
      <c r="T69" s="49">
        <v>30</v>
      </c>
      <c r="U69" s="50">
        <v>2.2</v>
      </c>
      <c r="V69" s="51">
        <v>0.0112</v>
      </c>
      <c r="W69" s="53">
        <v>30</v>
      </c>
      <c r="X69" s="54">
        <v>1.6</v>
      </c>
      <c r="Y69" s="55">
        <v>0.0051</v>
      </c>
      <c r="AC69" s="5"/>
      <c r="AD69" s="281"/>
      <c r="AE69" s="281"/>
    </row>
    <row r="70" spans="1:31" ht="12.75">
      <c r="A70" s="4">
        <v>30.5</v>
      </c>
      <c r="B70" s="1"/>
      <c r="C70" s="2"/>
      <c r="D70" s="3"/>
      <c r="E70" s="3"/>
      <c r="F70" s="2"/>
      <c r="G70" s="3"/>
      <c r="H70" s="1"/>
      <c r="I70" s="2"/>
      <c r="J70" s="3"/>
      <c r="K70" s="1"/>
      <c r="L70" s="2"/>
      <c r="M70" s="3"/>
      <c r="N70" s="1"/>
      <c r="O70" s="2"/>
      <c r="P70" s="3"/>
      <c r="Q70" s="48">
        <v>30.5</v>
      </c>
      <c r="R70" s="46">
        <v>3.85</v>
      </c>
      <c r="S70" s="47">
        <v>0.04515</v>
      </c>
      <c r="T70" s="52">
        <v>30.5</v>
      </c>
      <c r="U70" s="50">
        <v>2.25</v>
      </c>
      <c r="V70" s="51">
        <v>0.011349999999999999</v>
      </c>
      <c r="W70" s="56">
        <v>30.5</v>
      </c>
      <c r="X70" s="54">
        <v>1.65</v>
      </c>
      <c r="Y70" s="55">
        <v>0.00525</v>
      </c>
      <c r="AD70" s="281"/>
      <c r="AE70" s="281"/>
    </row>
    <row r="71" spans="1:31" ht="12.75">
      <c r="A71" s="1">
        <v>31</v>
      </c>
      <c r="B71" s="4"/>
      <c r="C71" s="2"/>
      <c r="D71" s="3"/>
      <c r="E71" s="3"/>
      <c r="F71" s="2"/>
      <c r="G71" s="3"/>
      <c r="H71" s="4"/>
      <c r="I71" s="2"/>
      <c r="J71" s="3"/>
      <c r="K71" s="4"/>
      <c r="L71" s="2"/>
      <c r="M71" s="3"/>
      <c r="N71" s="4"/>
      <c r="O71" s="2"/>
      <c r="P71" s="3"/>
      <c r="Q71" s="45">
        <v>31</v>
      </c>
      <c r="R71" s="46">
        <v>3.9</v>
      </c>
      <c r="S71" s="47">
        <v>0.0466</v>
      </c>
      <c r="T71" s="49">
        <v>31</v>
      </c>
      <c r="U71" s="50">
        <v>2.3</v>
      </c>
      <c r="V71" s="51">
        <v>0.0115</v>
      </c>
      <c r="W71" s="53">
        <v>31</v>
      </c>
      <c r="X71" s="54">
        <v>1.7</v>
      </c>
      <c r="Y71" s="55">
        <v>0.0054</v>
      </c>
      <c r="AC71" s="5"/>
      <c r="AD71" s="281"/>
      <c r="AE71" s="281"/>
    </row>
  </sheetData>
  <sheetProtection formatCells="0" formatColumns="0" formatRows="0" insertColumns="0" insertRows="0" insertHyperlinks="0" deleteColumns="0" deleteRows="0" autoFilter="0" pivotTables="0"/>
  <mergeCells count="17">
    <mergeCell ref="W7:Y7"/>
    <mergeCell ref="B10:D10"/>
    <mergeCell ref="E10:G10"/>
    <mergeCell ref="H10:J10"/>
    <mergeCell ref="K10:M10"/>
    <mergeCell ref="N10:P10"/>
    <mergeCell ref="Q10:S10"/>
    <mergeCell ref="T10:V10"/>
    <mergeCell ref="W10:Y10"/>
    <mergeCell ref="K7:M7"/>
    <mergeCell ref="N7:P7"/>
    <mergeCell ref="Q7:S7"/>
    <mergeCell ref="T7:V7"/>
    <mergeCell ref="A7:A10"/>
    <mergeCell ref="E7:G7"/>
    <mergeCell ref="B7:D7"/>
    <mergeCell ref="H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F3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3.7109375" style="57" customWidth="1"/>
    <col min="2" max="2" width="6.00390625" style="57" customWidth="1"/>
    <col min="3" max="3" width="15.140625" style="57" customWidth="1"/>
    <col min="4" max="4" width="14.140625" style="57" customWidth="1"/>
    <col min="5" max="5" width="22.28125" style="57" customWidth="1"/>
    <col min="6" max="16384" width="9.140625" style="57" customWidth="1"/>
  </cols>
  <sheetData>
    <row r="1" spans="1:6" ht="12.75">
      <c r="A1" s="397" t="s">
        <v>35</v>
      </c>
      <c r="B1" s="397"/>
      <c r="C1" s="397"/>
      <c r="D1" s="397"/>
      <c r="E1" s="397"/>
      <c r="F1" s="57" t="s">
        <v>36</v>
      </c>
    </row>
    <row r="2" spans="1:5" ht="12.75">
      <c r="A2" s="58" t="s">
        <v>37</v>
      </c>
      <c r="B2" s="59" t="s">
        <v>38</v>
      </c>
      <c r="C2" s="60" t="s">
        <v>39</v>
      </c>
      <c r="D2" s="58" t="s">
        <v>40</v>
      </c>
      <c r="E2" s="60" t="s">
        <v>41</v>
      </c>
    </row>
    <row r="3" spans="1:5" ht="12.75">
      <c r="A3" s="58">
        <v>1</v>
      </c>
      <c r="B3" s="59" t="s">
        <v>0</v>
      </c>
      <c r="C3" s="61" t="s">
        <v>42</v>
      </c>
      <c r="D3" s="58" t="s">
        <v>42</v>
      </c>
      <c r="E3" s="62" t="s">
        <v>42</v>
      </c>
    </row>
    <row r="4" spans="1:5" ht="12.75">
      <c r="A4" s="58">
        <v>2</v>
      </c>
      <c r="B4" s="59" t="s">
        <v>0</v>
      </c>
      <c r="C4" s="61" t="s">
        <v>2</v>
      </c>
      <c r="D4" s="58" t="s">
        <v>2</v>
      </c>
      <c r="E4" s="62" t="s">
        <v>2</v>
      </c>
    </row>
    <row r="5" spans="1:5" ht="12.75">
      <c r="A5" s="58">
        <v>3</v>
      </c>
      <c r="B5" s="59" t="s">
        <v>0</v>
      </c>
      <c r="C5" s="61" t="s">
        <v>2</v>
      </c>
      <c r="D5" s="58" t="s">
        <v>2</v>
      </c>
      <c r="E5" s="62" t="s">
        <v>2</v>
      </c>
    </row>
    <row r="6" spans="1:5" ht="12.75">
      <c r="A6" s="58">
        <v>4</v>
      </c>
      <c r="B6" s="59" t="s">
        <v>0</v>
      </c>
      <c r="C6" s="61" t="s">
        <v>2</v>
      </c>
      <c r="D6" s="58" t="s">
        <v>2</v>
      </c>
      <c r="E6" s="62" t="s">
        <v>2</v>
      </c>
    </row>
    <row r="7" spans="1:5" ht="12.75">
      <c r="A7" s="58">
        <v>5</v>
      </c>
      <c r="B7" s="59" t="s">
        <v>1</v>
      </c>
      <c r="C7" s="61" t="s">
        <v>2</v>
      </c>
      <c r="D7" s="58" t="s">
        <v>43</v>
      </c>
      <c r="E7" s="62" t="s">
        <v>43</v>
      </c>
    </row>
    <row r="8" spans="1:5" ht="12.75">
      <c r="A8" s="58">
        <v>6</v>
      </c>
      <c r="B8" s="59" t="s">
        <v>1</v>
      </c>
      <c r="C8" s="61" t="s">
        <v>2</v>
      </c>
      <c r="D8" s="58" t="s">
        <v>43</v>
      </c>
      <c r="E8" s="62" t="s">
        <v>43</v>
      </c>
    </row>
    <row r="9" spans="1:5" ht="12.75">
      <c r="A9" s="58">
        <v>7</v>
      </c>
      <c r="B9" s="59" t="s">
        <v>1</v>
      </c>
      <c r="C9" s="61" t="s">
        <v>2</v>
      </c>
      <c r="D9" s="58" t="s">
        <v>3</v>
      </c>
      <c r="E9" s="62" t="s">
        <v>43</v>
      </c>
    </row>
    <row r="10" spans="1:5" ht="12.75">
      <c r="A10" s="58">
        <v>8</v>
      </c>
      <c r="B10" s="59" t="s">
        <v>1</v>
      </c>
      <c r="C10" s="61" t="s">
        <v>2</v>
      </c>
      <c r="D10" s="58" t="s">
        <v>3</v>
      </c>
      <c r="E10" s="62" t="s">
        <v>43</v>
      </c>
    </row>
    <row r="11" spans="1:5" ht="12.75">
      <c r="A11" s="58">
        <v>9</v>
      </c>
      <c r="B11" s="59" t="s">
        <v>1</v>
      </c>
      <c r="C11" s="61" t="s">
        <v>2</v>
      </c>
      <c r="D11" s="58" t="s">
        <v>3</v>
      </c>
      <c r="E11" s="62" t="s">
        <v>43</v>
      </c>
    </row>
    <row r="12" spans="1:5" ht="12.75">
      <c r="A12" s="58">
        <v>10</v>
      </c>
      <c r="B12" s="59" t="s">
        <v>1</v>
      </c>
      <c r="C12" s="61" t="s">
        <v>2</v>
      </c>
      <c r="D12" s="58" t="s">
        <v>3</v>
      </c>
      <c r="E12" s="62" t="s">
        <v>43</v>
      </c>
    </row>
    <row r="13" spans="1:5" ht="12.75">
      <c r="A13" s="58">
        <v>11</v>
      </c>
      <c r="B13" s="59" t="s">
        <v>42</v>
      </c>
      <c r="C13" s="61" t="s">
        <v>43</v>
      </c>
      <c r="D13" s="58" t="s">
        <v>3</v>
      </c>
      <c r="E13" s="62" t="s">
        <v>3</v>
      </c>
    </row>
    <row r="14" spans="1:5" ht="12.75">
      <c r="A14" s="58">
        <v>12</v>
      </c>
      <c r="B14" s="59" t="s">
        <v>42</v>
      </c>
      <c r="C14" s="61" t="s">
        <v>43</v>
      </c>
      <c r="D14" s="58" t="s">
        <v>3</v>
      </c>
      <c r="E14" s="62" t="s">
        <v>3</v>
      </c>
    </row>
    <row r="15" spans="1:5" ht="12.75">
      <c r="A15" s="58">
        <v>13</v>
      </c>
      <c r="B15" s="59" t="s">
        <v>42</v>
      </c>
      <c r="C15" s="61" t="s">
        <v>43</v>
      </c>
      <c r="D15" s="58" t="s">
        <v>3</v>
      </c>
      <c r="E15" s="62" t="s">
        <v>3</v>
      </c>
    </row>
    <row r="16" spans="1:5" ht="12.75">
      <c r="A16" s="58">
        <v>14</v>
      </c>
      <c r="B16" s="59" t="s">
        <v>42</v>
      </c>
      <c r="C16" s="61" t="s">
        <v>43</v>
      </c>
      <c r="D16" s="58" t="s">
        <v>3</v>
      </c>
      <c r="E16" s="62" t="s">
        <v>3</v>
      </c>
    </row>
    <row r="17" spans="1:5" ht="12.75">
      <c r="A17" s="58">
        <v>15</v>
      </c>
      <c r="B17" s="59" t="s">
        <v>42</v>
      </c>
      <c r="C17" s="61" t="s">
        <v>43</v>
      </c>
      <c r="D17" s="58" t="s">
        <v>4</v>
      </c>
      <c r="E17" s="62" t="s">
        <v>3</v>
      </c>
    </row>
    <row r="18" spans="1:5" ht="12.75">
      <c r="A18" s="58">
        <v>16</v>
      </c>
      <c r="B18" s="59" t="s">
        <v>42</v>
      </c>
      <c r="C18" s="61" t="s">
        <v>43</v>
      </c>
      <c r="D18" s="58" t="s">
        <v>4</v>
      </c>
      <c r="E18" s="62" t="s">
        <v>3</v>
      </c>
    </row>
    <row r="19" spans="1:5" ht="12.75">
      <c r="A19" s="58">
        <v>17</v>
      </c>
      <c r="B19" s="59" t="s">
        <v>42</v>
      </c>
      <c r="C19" s="61" t="s">
        <v>43</v>
      </c>
      <c r="D19" s="58" t="s">
        <v>4</v>
      </c>
      <c r="E19" s="62" t="s">
        <v>3</v>
      </c>
    </row>
    <row r="20" spans="1:5" ht="12.75">
      <c r="A20" s="58">
        <v>18</v>
      </c>
      <c r="B20" s="59" t="s">
        <v>42</v>
      </c>
      <c r="C20" s="61" t="s">
        <v>43</v>
      </c>
      <c r="D20" s="58" t="s">
        <v>4</v>
      </c>
      <c r="E20" s="62" t="s">
        <v>3</v>
      </c>
    </row>
    <row r="21" spans="1:5" ht="12.75">
      <c r="A21" s="58">
        <v>19</v>
      </c>
      <c r="B21" s="59" t="s">
        <v>42</v>
      </c>
      <c r="C21" s="61" t="s">
        <v>43</v>
      </c>
      <c r="D21" s="58" t="s">
        <v>4</v>
      </c>
      <c r="E21" s="62" t="s">
        <v>3</v>
      </c>
    </row>
    <row r="22" spans="1:5" ht="12.75">
      <c r="A22" s="58">
        <v>20</v>
      </c>
      <c r="B22" s="59" t="s">
        <v>42</v>
      </c>
      <c r="C22" s="61" t="s">
        <v>43</v>
      </c>
      <c r="D22" s="58" t="s">
        <v>4</v>
      </c>
      <c r="E22" s="62" t="s">
        <v>3</v>
      </c>
    </row>
    <row r="23" spans="1:5" ht="12.75">
      <c r="A23" s="58">
        <v>22</v>
      </c>
      <c r="B23" s="59" t="s">
        <v>42</v>
      </c>
      <c r="C23" s="61" t="s">
        <v>43</v>
      </c>
      <c r="D23" s="60"/>
      <c r="E23" s="60"/>
    </row>
    <row r="24" spans="1:5" ht="12.75">
      <c r="A24" s="58">
        <v>24</v>
      </c>
      <c r="B24" s="59" t="s">
        <v>42</v>
      </c>
      <c r="C24" s="61" t="s">
        <v>43</v>
      </c>
      <c r="D24" s="60"/>
      <c r="E24" s="60"/>
    </row>
    <row r="25" spans="1:5" ht="12.75">
      <c r="A25" s="58">
        <v>26</v>
      </c>
      <c r="B25" s="59" t="s">
        <v>2</v>
      </c>
      <c r="C25" s="61" t="s">
        <v>3</v>
      </c>
      <c r="D25" s="60"/>
      <c r="E25" s="60"/>
    </row>
    <row r="26" spans="1:5" ht="12.75">
      <c r="A26" s="58">
        <v>28</v>
      </c>
      <c r="B26" s="59" t="s">
        <v>2</v>
      </c>
      <c r="C26" s="61" t="s">
        <v>3</v>
      </c>
      <c r="D26" s="60"/>
      <c r="E26" s="60"/>
    </row>
    <row r="27" spans="1:5" ht="12.75">
      <c r="A27" s="58">
        <v>30</v>
      </c>
      <c r="B27" s="59" t="s">
        <v>2</v>
      </c>
      <c r="C27" s="61" t="s">
        <v>3</v>
      </c>
      <c r="D27" s="60"/>
      <c r="E27" s="60"/>
    </row>
    <row r="28" spans="1:5" ht="12.75">
      <c r="A28" s="58">
        <v>32</v>
      </c>
      <c r="B28" s="59" t="s">
        <v>2</v>
      </c>
      <c r="C28" s="61" t="s">
        <v>3</v>
      </c>
      <c r="D28" s="60"/>
      <c r="E28" s="60"/>
    </row>
    <row r="29" spans="1:5" ht="12.75">
      <c r="A29" s="58">
        <v>34</v>
      </c>
      <c r="B29" s="59" t="s">
        <v>2</v>
      </c>
      <c r="C29" s="61" t="s">
        <v>3</v>
      </c>
      <c r="D29" s="60"/>
      <c r="E29" s="60"/>
    </row>
    <row r="30" spans="1:5" ht="12.75">
      <c r="A30" s="58">
        <v>36</v>
      </c>
      <c r="B30" s="59" t="s">
        <v>2</v>
      </c>
      <c r="C30" s="61" t="s">
        <v>3</v>
      </c>
      <c r="D30" s="60"/>
      <c r="E30" s="60"/>
    </row>
    <row r="31" spans="1:5" ht="12.75">
      <c r="A31" s="58">
        <v>38</v>
      </c>
      <c r="B31" s="59" t="s">
        <v>2</v>
      </c>
      <c r="C31" s="61" t="s">
        <v>3</v>
      </c>
      <c r="D31" s="60"/>
      <c r="E31" s="60"/>
    </row>
    <row r="32" spans="1:5" ht="12.75">
      <c r="A32" s="58">
        <v>40</v>
      </c>
      <c r="B32" s="59" t="s">
        <v>2</v>
      </c>
      <c r="C32" s="61" t="s">
        <v>3</v>
      </c>
      <c r="D32" s="60"/>
      <c r="E32" s="60"/>
    </row>
    <row r="33" spans="1:5" ht="12.75">
      <c r="A33" s="58">
        <v>42</v>
      </c>
      <c r="B33" s="59" t="s">
        <v>2</v>
      </c>
      <c r="C33" s="61" t="s">
        <v>3</v>
      </c>
      <c r="D33" s="60"/>
      <c r="E33" s="60"/>
    </row>
    <row r="34" spans="1:5" ht="12.75">
      <c r="A34" s="58">
        <v>44</v>
      </c>
      <c r="B34" s="59" t="s">
        <v>2</v>
      </c>
      <c r="C34" s="61" t="s">
        <v>3</v>
      </c>
      <c r="D34" s="60"/>
      <c r="E34" s="60"/>
    </row>
    <row r="35" spans="1:5" ht="12.75">
      <c r="A35" s="58">
        <v>46</v>
      </c>
      <c r="B35" s="59" t="s">
        <v>2</v>
      </c>
      <c r="C35" s="61" t="s">
        <v>3</v>
      </c>
      <c r="D35" s="60"/>
      <c r="E35" s="60"/>
    </row>
    <row r="36" spans="1:5" ht="12.75">
      <c r="A36" s="58">
        <v>48</v>
      </c>
      <c r="B36" s="59" t="s">
        <v>2</v>
      </c>
      <c r="C36" s="61" t="s">
        <v>3</v>
      </c>
      <c r="D36" s="60"/>
      <c r="E36" s="60"/>
    </row>
    <row r="37" spans="1:5" ht="12.75">
      <c r="A37" s="58">
        <v>50</v>
      </c>
      <c r="B37" s="59" t="s">
        <v>2</v>
      </c>
      <c r="C37" s="61" t="s">
        <v>3</v>
      </c>
      <c r="D37" s="60"/>
      <c r="E37" s="6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AI17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5.57421875" style="0" customWidth="1"/>
    <col min="2" max="2" width="5.00390625" style="0" customWidth="1"/>
  </cols>
  <sheetData>
    <row r="1" spans="1:8" ht="38.25">
      <c r="A1" s="398" t="s">
        <v>23</v>
      </c>
      <c r="B1" s="399"/>
      <c r="C1" s="170" t="s">
        <v>68</v>
      </c>
      <c r="D1" s="169" t="s">
        <v>24</v>
      </c>
      <c r="E1" s="169" t="s">
        <v>25</v>
      </c>
      <c r="F1" s="170" t="s">
        <v>26</v>
      </c>
      <c r="G1" s="170" t="s">
        <v>27</v>
      </c>
      <c r="H1" s="169" t="s">
        <v>28</v>
      </c>
    </row>
    <row r="2" spans="1:8" ht="12.75">
      <c r="A2" s="87" t="s">
        <v>29</v>
      </c>
      <c r="B2" s="88">
        <v>15</v>
      </c>
      <c r="C2" s="162">
        <v>0.5</v>
      </c>
      <c r="D2" s="89">
        <v>21.3</v>
      </c>
      <c r="E2" s="89">
        <v>2.8</v>
      </c>
      <c r="F2" s="89">
        <f>D2-(E2*2)</f>
        <v>15.700000000000001</v>
      </c>
      <c r="G2" s="89">
        <f>F2*10^-3</f>
        <v>0.015700000000000002</v>
      </c>
      <c r="H2" s="90">
        <f>G2^2*(PI()/4)</f>
        <v>0.0001935927932958371</v>
      </c>
    </row>
    <row r="3" spans="1:35" s="168" customFormat="1" ht="12.75">
      <c r="A3" s="164" t="s">
        <v>29</v>
      </c>
      <c r="B3" s="165">
        <v>20</v>
      </c>
      <c r="C3" s="166">
        <v>0.75</v>
      </c>
      <c r="D3" s="164">
        <v>26.9</v>
      </c>
      <c r="E3" s="164">
        <v>2.9</v>
      </c>
      <c r="F3" s="164">
        <f aca="true" t="shared" si="0" ref="F3:F17">D3-(E3*2)</f>
        <v>21.099999999999998</v>
      </c>
      <c r="G3" s="164">
        <f aca="true" t="shared" si="1" ref="G3:G17">F3*10^-3</f>
        <v>0.021099999999999997</v>
      </c>
      <c r="H3" s="167">
        <f aca="true" t="shared" si="2" ref="H3:H17">G3^2*(PI()/4)</f>
        <v>0.00034966711632617787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8" ht="12.75">
      <c r="A4" s="87" t="s">
        <v>29</v>
      </c>
      <c r="B4" s="88">
        <v>25</v>
      </c>
      <c r="C4" s="162">
        <v>1</v>
      </c>
      <c r="D4" s="89">
        <v>33.7</v>
      </c>
      <c r="E4" s="89">
        <v>3.4</v>
      </c>
      <c r="F4" s="89">
        <f t="shared" si="0"/>
        <v>26.900000000000002</v>
      </c>
      <c r="G4" s="89">
        <f t="shared" si="1"/>
        <v>0.026900000000000004</v>
      </c>
      <c r="H4" s="90">
        <f t="shared" si="2"/>
        <v>0.0005683219650160277</v>
      </c>
    </row>
    <row r="5" spans="1:35" s="168" customFormat="1" ht="12.75">
      <c r="A5" s="164" t="s">
        <v>29</v>
      </c>
      <c r="B5" s="165">
        <v>32</v>
      </c>
      <c r="C5" s="166">
        <v>1.25</v>
      </c>
      <c r="D5" s="164">
        <v>42.4</v>
      </c>
      <c r="E5" s="164">
        <v>3.6</v>
      </c>
      <c r="F5" s="164">
        <f t="shared" si="0"/>
        <v>35.199999999999996</v>
      </c>
      <c r="G5" s="164">
        <f t="shared" si="1"/>
        <v>0.035199999999999995</v>
      </c>
      <c r="H5" s="167">
        <f t="shared" si="2"/>
        <v>0.000973139740375974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8" ht="12.75">
      <c r="A6" s="87" t="s">
        <v>29</v>
      </c>
      <c r="B6" s="88">
        <v>40</v>
      </c>
      <c r="C6" s="162">
        <v>1.5</v>
      </c>
      <c r="D6" s="89">
        <v>48.3</v>
      </c>
      <c r="E6" s="89">
        <v>3.7</v>
      </c>
      <c r="F6" s="89">
        <f t="shared" si="0"/>
        <v>40.9</v>
      </c>
      <c r="G6" s="89">
        <f t="shared" si="1"/>
        <v>0.0409</v>
      </c>
      <c r="H6" s="90">
        <f t="shared" si="2"/>
        <v>0.0013138219017128853</v>
      </c>
    </row>
    <row r="7" spans="1:35" s="168" customFormat="1" ht="12.75">
      <c r="A7" s="164" t="s">
        <v>29</v>
      </c>
      <c r="B7" s="165">
        <v>50</v>
      </c>
      <c r="C7" s="166">
        <v>2</v>
      </c>
      <c r="D7" s="164">
        <v>60.3</v>
      </c>
      <c r="E7" s="164">
        <v>3.9</v>
      </c>
      <c r="F7" s="164">
        <f t="shared" si="0"/>
        <v>52.5</v>
      </c>
      <c r="G7" s="164">
        <f t="shared" si="1"/>
        <v>0.0525</v>
      </c>
      <c r="H7" s="167">
        <f t="shared" si="2"/>
        <v>0.0021647536878642167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8" ht="12.75">
      <c r="A8" s="87" t="s">
        <v>29</v>
      </c>
      <c r="B8" s="88">
        <v>65</v>
      </c>
      <c r="C8" s="162">
        <v>2.5</v>
      </c>
      <c r="D8" s="89">
        <v>73</v>
      </c>
      <c r="E8" s="89">
        <v>5.2</v>
      </c>
      <c r="F8" s="89">
        <f t="shared" si="0"/>
        <v>62.6</v>
      </c>
      <c r="G8" s="89">
        <f t="shared" si="1"/>
        <v>0.0626</v>
      </c>
      <c r="H8" s="90">
        <f t="shared" si="2"/>
        <v>0.0030777869067953848</v>
      </c>
    </row>
    <row r="9" spans="1:35" s="168" customFormat="1" ht="12.75">
      <c r="A9" s="164" t="s">
        <v>29</v>
      </c>
      <c r="B9" s="165">
        <v>80</v>
      </c>
      <c r="C9" s="166">
        <v>3</v>
      </c>
      <c r="D9" s="164">
        <v>88.9</v>
      </c>
      <c r="E9" s="164">
        <v>5.5</v>
      </c>
      <c r="F9" s="164">
        <f t="shared" si="0"/>
        <v>77.9</v>
      </c>
      <c r="G9" s="164">
        <f t="shared" si="1"/>
        <v>0.07790000000000001</v>
      </c>
      <c r="H9" s="167">
        <f t="shared" si="2"/>
        <v>0.00476611806874271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8" ht="12.75">
      <c r="A10" s="87" t="s">
        <v>29</v>
      </c>
      <c r="B10" s="88">
        <v>100</v>
      </c>
      <c r="C10" s="162">
        <v>4</v>
      </c>
      <c r="D10" s="89">
        <v>114.3</v>
      </c>
      <c r="E10" s="89">
        <v>6</v>
      </c>
      <c r="F10" s="89">
        <f t="shared" si="0"/>
        <v>102.3</v>
      </c>
      <c r="G10" s="89">
        <f t="shared" si="1"/>
        <v>0.1023</v>
      </c>
      <c r="H10" s="90">
        <f t="shared" si="2"/>
        <v>0.008219419545421682</v>
      </c>
    </row>
    <row r="11" spans="1:35" s="168" customFormat="1" ht="12.75">
      <c r="A11" s="164" t="s">
        <v>29</v>
      </c>
      <c r="B11" s="165">
        <v>125</v>
      </c>
      <c r="C11" s="166">
        <v>5</v>
      </c>
      <c r="D11" s="164">
        <v>141</v>
      </c>
      <c r="E11" s="164">
        <v>6.6</v>
      </c>
      <c r="F11" s="164">
        <f t="shared" si="0"/>
        <v>127.8</v>
      </c>
      <c r="G11" s="164">
        <f t="shared" si="1"/>
        <v>0.1278</v>
      </c>
      <c r="H11" s="167">
        <f t="shared" si="2"/>
        <v>0.012827782539064378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8" ht="12.75">
      <c r="A12" s="87" t="s">
        <v>29</v>
      </c>
      <c r="B12" s="88">
        <v>150</v>
      </c>
      <c r="C12" s="162">
        <v>6</v>
      </c>
      <c r="D12" s="89">
        <v>168.3</v>
      </c>
      <c r="E12" s="89">
        <v>7.1</v>
      </c>
      <c r="F12" s="89">
        <f t="shared" si="0"/>
        <v>154.10000000000002</v>
      </c>
      <c r="G12" s="89">
        <f t="shared" si="1"/>
        <v>0.15410000000000001</v>
      </c>
      <c r="H12" s="90">
        <f t="shared" si="2"/>
        <v>0.01865070096054816</v>
      </c>
    </row>
    <row r="13" spans="1:35" s="168" customFormat="1" ht="12.75">
      <c r="A13" s="164" t="s">
        <v>29</v>
      </c>
      <c r="B13" s="165">
        <v>200</v>
      </c>
      <c r="C13" s="166">
        <v>8</v>
      </c>
      <c r="D13" s="164">
        <v>219.1</v>
      </c>
      <c r="E13" s="164">
        <v>8.18</v>
      </c>
      <c r="F13" s="164">
        <f t="shared" si="0"/>
        <v>202.74</v>
      </c>
      <c r="G13" s="164">
        <f t="shared" si="1"/>
        <v>0.20274</v>
      </c>
      <c r="H13" s="167">
        <f t="shared" si="2"/>
        <v>0.032282619378233054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8" ht="12.75">
      <c r="A14" s="87" t="s">
        <v>29</v>
      </c>
      <c r="B14" s="88">
        <v>250</v>
      </c>
      <c r="C14" s="163">
        <v>10</v>
      </c>
      <c r="D14" s="89">
        <v>273</v>
      </c>
      <c r="E14" s="89">
        <v>9.27</v>
      </c>
      <c r="F14" s="89">
        <f t="shared" si="0"/>
        <v>254.46</v>
      </c>
      <c r="G14" s="89">
        <f t="shared" si="1"/>
        <v>0.25446</v>
      </c>
      <c r="H14" s="90">
        <f t="shared" si="2"/>
        <v>0.05085444594282387</v>
      </c>
    </row>
    <row r="15" spans="1:35" s="168" customFormat="1" ht="12.75">
      <c r="A15" s="164" t="s">
        <v>29</v>
      </c>
      <c r="B15" s="165">
        <v>300</v>
      </c>
      <c r="C15" s="166"/>
      <c r="D15" s="164">
        <v>323</v>
      </c>
      <c r="E15" s="164">
        <v>9.5</v>
      </c>
      <c r="F15" s="164">
        <f t="shared" si="0"/>
        <v>304</v>
      </c>
      <c r="G15" s="164">
        <f t="shared" si="1"/>
        <v>0.304</v>
      </c>
      <c r="H15" s="167">
        <f t="shared" si="2"/>
        <v>0.07258335666853857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8" ht="12.75">
      <c r="A16" s="87" t="s">
        <v>29</v>
      </c>
      <c r="B16" s="88">
        <v>400</v>
      </c>
      <c r="C16" s="163"/>
      <c r="D16" s="89">
        <v>406</v>
      </c>
      <c r="E16" s="89">
        <v>9.5</v>
      </c>
      <c r="F16" s="89">
        <f t="shared" si="0"/>
        <v>387</v>
      </c>
      <c r="G16" s="89">
        <f t="shared" si="1"/>
        <v>0.387</v>
      </c>
      <c r="H16" s="90">
        <f t="shared" si="2"/>
        <v>0.11762829753387244</v>
      </c>
    </row>
    <row r="17" spans="1:35" s="168" customFormat="1" ht="12.75">
      <c r="A17" s="164" t="s">
        <v>29</v>
      </c>
      <c r="B17" s="165">
        <v>450</v>
      </c>
      <c r="C17" s="166"/>
      <c r="D17" s="164">
        <v>470</v>
      </c>
      <c r="E17" s="164">
        <v>9.5</v>
      </c>
      <c r="F17" s="164">
        <f t="shared" si="0"/>
        <v>451</v>
      </c>
      <c r="G17" s="164">
        <f t="shared" si="1"/>
        <v>0.451</v>
      </c>
      <c r="H17" s="167">
        <f t="shared" si="2"/>
        <v>0.15975077183320438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J2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0.7109375" style="193" customWidth="1"/>
    <col min="2" max="2" width="17.7109375" style="216" customWidth="1"/>
    <col min="3" max="3" width="11.28125" style="193" customWidth="1"/>
    <col min="4" max="4" width="6.421875" style="193" customWidth="1"/>
    <col min="5" max="5" width="17.00390625" style="193" customWidth="1"/>
    <col min="6" max="6" width="9.8515625" style="193" customWidth="1"/>
    <col min="7" max="7" width="19.7109375" style="193" customWidth="1"/>
    <col min="8" max="8" width="11.8515625" style="193" customWidth="1"/>
    <col min="9" max="15" width="14.7109375" style="193" customWidth="1"/>
    <col min="16" max="16384" width="9.140625" style="193" customWidth="1"/>
  </cols>
  <sheetData>
    <row r="1" spans="1:8" ht="19.5" customHeight="1" thickBot="1">
      <c r="A1" s="401" t="s">
        <v>72</v>
      </c>
      <c r="B1" s="401"/>
      <c r="C1" s="401"/>
      <c r="D1" s="401"/>
      <c r="E1" s="401"/>
      <c r="F1" s="401"/>
      <c r="G1" s="402"/>
      <c r="H1" s="400"/>
    </row>
    <row r="2" spans="1:8" ht="24" customHeight="1">
      <c r="A2" s="194" t="s">
        <v>132</v>
      </c>
      <c r="B2" s="232">
        <v>68800</v>
      </c>
      <c r="C2" s="195"/>
      <c r="D2" s="195"/>
      <c r="E2" s="196" t="s">
        <v>138</v>
      </c>
      <c r="F2" s="235">
        <v>2</v>
      </c>
      <c r="G2" s="195"/>
      <c r="H2" s="400"/>
    </row>
    <row r="3" spans="1:8" ht="24" customHeight="1">
      <c r="A3" s="197" t="s">
        <v>133</v>
      </c>
      <c r="B3" s="198">
        <f>B2/860</f>
        <v>80</v>
      </c>
      <c r="C3" s="195"/>
      <c r="D3" s="195"/>
      <c r="E3" s="196" t="s">
        <v>139</v>
      </c>
      <c r="F3" s="199">
        <f>0.01*B2/SQRT(F2)</f>
        <v>486.48946545634465</v>
      </c>
      <c r="G3" s="195"/>
      <c r="H3" s="400"/>
    </row>
    <row r="4" spans="1:8" ht="24" customHeight="1">
      <c r="A4" s="197" t="s">
        <v>73</v>
      </c>
      <c r="B4" s="231">
        <v>0.9</v>
      </c>
      <c r="C4" s="195"/>
      <c r="D4" s="195"/>
      <c r="E4" s="196" t="s">
        <v>140</v>
      </c>
      <c r="F4" s="200">
        <f>SQRT(F3*4/3.14)</f>
        <v>24.894413090673606</v>
      </c>
      <c r="G4" s="195"/>
      <c r="H4" s="400"/>
    </row>
    <row r="5" spans="1:8" ht="24" customHeight="1">
      <c r="A5" s="201" t="s">
        <v>134</v>
      </c>
      <c r="B5" s="202">
        <f>B2/(8250*B4)</f>
        <v>9.265993265993266</v>
      </c>
      <c r="C5" s="195"/>
      <c r="D5" s="195"/>
      <c r="E5" s="195"/>
      <c r="F5" s="195"/>
      <c r="G5" s="195"/>
      <c r="H5" s="400"/>
    </row>
    <row r="6" spans="1:8" ht="24" customHeight="1">
      <c r="A6" s="197" t="s">
        <v>135</v>
      </c>
      <c r="B6" s="203">
        <f>B5*8250</f>
        <v>76444.44444444445</v>
      </c>
      <c r="C6" s="195"/>
      <c r="D6" s="195"/>
      <c r="E6" s="204"/>
      <c r="F6" s="204"/>
      <c r="G6" s="195"/>
      <c r="H6" s="400"/>
    </row>
    <row r="7" spans="1:8" ht="24" customHeight="1" thickBot="1">
      <c r="A7" s="205" t="s">
        <v>141</v>
      </c>
      <c r="B7" s="206">
        <f>B6/860</f>
        <v>88.8888888888889</v>
      </c>
      <c r="C7" s="195"/>
      <c r="D7" s="195"/>
      <c r="E7" s="204"/>
      <c r="F7" s="204"/>
      <c r="G7" s="195"/>
      <c r="H7" s="400"/>
    </row>
    <row r="8" spans="1:10" ht="24" customHeight="1" thickBot="1">
      <c r="A8" s="207" t="s">
        <v>136</v>
      </c>
      <c r="B8" s="208">
        <f>(540+(B3-60)*4.5)*1.5</f>
        <v>945</v>
      </c>
      <c r="C8" s="209" t="str">
        <f>FIXED(SQRT(B8),0)&amp;"  x  "&amp;FIXED(SQRT(B8),0)</f>
        <v>31  x  31</v>
      </c>
      <c r="D8" s="210"/>
      <c r="E8" s="204"/>
      <c r="F8" s="204"/>
      <c r="G8" s="210"/>
      <c r="H8" s="400"/>
      <c r="I8" s="211"/>
      <c r="J8" s="211"/>
    </row>
    <row r="9" spans="1:10" ht="24" customHeight="1" thickBot="1">
      <c r="A9" s="212" t="s">
        <v>137</v>
      </c>
      <c r="B9" s="213">
        <f>B8/2</f>
        <v>472.5</v>
      </c>
      <c r="C9" s="209" t="str">
        <f>FIXED(SQRT(B9),0)&amp;"  x  "&amp;FIXED(SQRT(B9),0)</f>
        <v>22  x  22</v>
      </c>
      <c r="D9" s="214"/>
      <c r="E9" s="214"/>
      <c r="F9" s="214"/>
      <c r="G9" s="214"/>
      <c r="H9" s="400"/>
      <c r="I9" s="211"/>
      <c r="J9" s="211"/>
    </row>
    <row r="12" ht="12.75">
      <c r="A12" s="215" t="s">
        <v>74</v>
      </c>
    </row>
    <row r="13" spans="5:8" ht="13.5" thickBot="1">
      <c r="E13" s="217" t="s">
        <v>221</v>
      </c>
      <c r="F13" s="218"/>
      <c r="G13" s="218"/>
      <c r="H13" s="218"/>
    </row>
    <row r="14" spans="1:8" ht="13.5" customHeight="1">
      <c r="A14" s="219" t="s">
        <v>75</v>
      </c>
      <c r="B14" s="220">
        <v>21</v>
      </c>
      <c r="E14" s="403"/>
      <c r="F14" s="403"/>
      <c r="G14" s="221" t="s">
        <v>187</v>
      </c>
      <c r="H14" s="221" t="s">
        <v>188</v>
      </c>
    </row>
    <row r="15" spans="1:8" ht="12.75">
      <c r="A15" s="222" t="s">
        <v>76</v>
      </c>
      <c r="B15" s="223"/>
      <c r="E15" s="404" t="s">
        <v>213</v>
      </c>
      <c r="F15" s="404"/>
      <c r="G15" s="221" t="s">
        <v>189</v>
      </c>
      <c r="H15" s="221" t="s">
        <v>190</v>
      </c>
    </row>
    <row r="16" spans="1:8" ht="13.5" thickBot="1">
      <c r="A16" s="224" t="s">
        <v>77</v>
      </c>
      <c r="B16" s="233" t="s">
        <v>78</v>
      </c>
      <c r="E16" s="404" t="s">
        <v>214</v>
      </c>
      <c r="F16" s="404"/>
      <c r="G16" s="221" t="s">
        <v>191</v>
      </c>
      <c r="H16" s="221" t="s">
        <v>192</v>
      </c>
    </row>
    <row r="17" spans="5:8" ht="12.75">
      <c r="E17" s="404" t="s">
        <v>215</v>
      </c>
      <c r="F17" s="404"/>
      <c r="G17" s="221" t="s">
        <v>193</v>
      </c>
      <c r="H17" s="221" t="s">
        <v>194</v>
      </c>
    </row>
    <row r="18" spans="1:8" ht="15">
      <c r="A18" s="225" t="s">
        <v>79</v>
      </c>
      <c r="B18" s="234">
        <v>32</v>
      </c>
      <c r="E18" s="404" t="s">
        <v>216</v>
      </c>
      <c r="F18" s="404"/>
      <c r="G18" s="221" t="s">
        <v>195</v>
      </c>
      <c r="H18" s="221" t="s">
        <v>196</v>
      </c>
    </row>
    <row r="19" spans="1:8" ht="15">
      <c r="A19" s="225" t="s">
        <v>80</v>
      </c>
      <c r="B19" s="226">
        <f>VLOOKUP(B18,boruçapı!B2:H17,5)</f>
        <v>35.199999999999996</v>
      </c>
      <c r="E19" s="404" t="s">
        <v>217</v>
      </c>
      <c r="F19" s="404"/>
      <c r="G19" s="221" t="s">
        <v>197</v>
      </c>
      <c r="H19" s="221" t="s">
        <v>198</v>
      </c>
    </row>
    <row r="20" spans="1:8" ht="15">
      <c r="A20" s="225" t="s">
        <v>81</v>
      </c>
      <c r="B20" s="226">
        <v>4.1</v>
      </c>
      <c r="E20" s="404" t="s">
        <v>199</v>
      </c>
      <c r="F20" s="404"/>
      <c r="G20" s="221" t="s">
        <v>200</v>
      </c>
      <c r="H20" s="221" t="s">
        <v>201</v>
      </c>
    </row>
    <row r="21" spans="1:8" ht="15">
      <c r="A21" s="225" t="s">
        <v>82</v>
      </c>
      <c r="B21" s="226">
        <f>VLOOKUP(B16,cihaz!A36:D42,2)</f>
        <v>40</v>
      </c>
      <c r="E21" s="404" t="s">
        <v>202</v>
      </c>
      <c r="F21" s="404"/>
      <c r="G21" s="221" t="s">
        <v>203</v>
      </c>
      <c r="H21" s="221" t="s">
        <v>204</v>
      </c>
    </row>
    <row r="22" spans="1:8" ht="15">
      <c r="A22" s="225" t="s">
        <v>83</v>
      </c>
      <c r="B22" s="227">
        <f>B5</f>
        <v>9.265993265993266</v>
      </c>
      <c r="E22" s="404" t="s">
        <v>205</v>
      </c>
      <c r="F22" s="404"/>
      <c r="G22" s="221" t="s">
        <v>206</v>
      </c>
      <c r="H22" s="221" t="s">
        <v>207</v>
      </c>
    </row>
    <row r="23" spans="1:8" ht="15">
      <c r="A23" s="225" t="s">
        <v>84</v>
      </c>
      <c r="B23" s="228">
        <f>3.14*(B19/1000)^2/4*B20+B21/1000</f>
        <v>0.04398785024</v>
      </c>
      <c r="E23" s="404" t="s">
        <v>208</v>
      </c>
      <c r="F23" s="404"/>
      <c r="G23" s="221" t="s">
        <v>218</v>
      </c>
      <c r="H23" s="229"/>
    </row>
    <row r="24" spans="1:8" ht="15">
      <c r="A24" s="225" t="s">
        <v>85</v>
      </c>
      <c r="B24" s="228">
        <f>B22/1000</f>
        <v>0.009265993265993266</v>
      </c>
      <c r="E24" s="404" t="s">
        <v>209</v>
      </c>
      <c r="F24" s="404"/>
      <c r="G24" s="221" t="s">
        <v>232</v>
      </c>
      <c r="H24" s="221"/>
    </row>
    <row r="25" spans="1:8" ht="14.25" customHeight="1">
      <c r="A25" s="225" t="str">
        <f>IF(B24&lt;B23,"UYGUNDUR","UYGUN DEĞİLDİR")</f>
        <v>UYGUNDUR</v>
      </c>
      <c r="B25" s="230" t="str">
        <f>"       "&amp;FIXED(B24,2)&amp;"  &lt;   "&amp;FIXED(B23,2)</f>
        <v>       0.01  &lt;   0.04</v>
      </c>
      <c r="E25" s="407" t="s">
        <v>222</v>
      </c>
      <c r="F25" s="221" t="s">
        <v>210</v>
      </c>
      <c r="G25" s="221" t="s">
        <v>231</v>
      </c>
      <c r="H25" s="221"/>
    </row>
    <row r="26" spans="5:8" ht="12.75">
      <c r="E26" s="407"/>
      <c r="F26" s="221" t="s">
        <v>211</v>
      </c>
      <c r="G26" s="221" t="s">
        <v>230</v>
      </c>
      <c r="H26" s="221" t="s">
        <v>233</v>
      </c>
    </row>
    <row r="27" spans="5:8" ht="14.25">
      <c r="E27" s="407"/>
      <c r="F27" s="221" t="s">
        <v>212</v>
      </c>
      <c r="G27" s="221" t="s">
        <v>219</v>
      </c>
      <c r="H27" s="229"/>
    </row>
    <row r="28" spans="5:8" ht="15" customHeight="1">
      <c r="E28" s="406" t="s">
        <v>220</v>
      </c>
      <c r="F28" s="406"/>
      <c r="G28" s="406"/>
      <c r="H28" s="406"/>
    </row>
    <row r="29" spans="5:8" ht="22.5" customHeight="1">
      <c r="E29" s="405" t="s">
        <v>234</v>
      </c>
      <c r="F29" s="405"/>
      <c r="G29" s="405"/>
      <c r="H29" s="405"/>
    </row>
  </sheetData>
  <sheetProtection/>
  <mergeCells count="16">
    <mergeCell ref="E24:F24"/>
    <mergeCell ref="E29:H29"/>
    <mergeCell ref="E28:H28"/>
    <mergeCell ref="E25:E27"/>
    <mergeCell ref="E18:F18"/>
    <mergeCell ref="E19:F19"/>
    <mergeCell ref="E20:F20"/>
    <mergeCell ref="E21:F21"/>
    <mergeCell ref="E22:F22"/>
    <mergeCell ref="E23:F23"/>
    <mergeCell ref="H1:H9"/>
    <mergeCell ref="A1:G1"/>
    <mergeCell ref="E14:F14"/>
    <mergeCell ref="E15:F15"/>
    <mergeCell ref="E16:F16"/>
    <mergeCell ref="E17:F17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:T42"/>
  <sheetViews>
    <sheetView zoomScalePageLayoutView="0" workbookViewId="0" topLeftCell="A10">
      <selection activeCell="C36" sqref="C36"/>
    </sheetView>
  </sheetViews>
  <sheetFormatPr defaultColWidth="9.140625" defaultRowHeight="12.75"/>
  <cols>
    <col min="1" max="1" width="9.140625" style="91" customWidth="1"/>
    <col min="2" max="2" width="10.421875" style="106" customWidth="1"/>
    <col min="3" max="3" width="9.140625" style="106" customWidth="1"/>
    <col min="4" max="4" width="12.00390625" style="91" bestFit="1" customWidth="1"/>
    <col min="5" max="16384" width="9.140625" style="91" customWidth="1"/>
  </cols>
  <sheetData>
    <row r="1" ht="13.5" thickBot="1"/>
    <row r="2" spans="1:5" ht="12.75">
      <c r="A2" s="107"/>
      <c r="B2" s="108" t="s">
        <v>100</v>
      </c>
      <c r="C2" s="108" t="s">
        <v>101</v>
      </c>
      <c r="D2" s="108" t="s">
        <v>102</v>
      </c>
      <c r="E2" s="109" t="s">
        <v>103</v>
      </c>
    </row>
    <row r="3" spans="1:5" ht="13.5" thickBot="1">
      <c r="A3" s="110"/>
      <c r="B3" s="111" t="s">
        <v>104</v>
      </c>
      <c r="C3" s="111" t="s">
        <v>105</v>
      </c>
      <c r="D3" s="111" t="s">
        <v>104</v>
      </c>
      <c r="E3" s="112" t="s">
        <v>106</v>
      </c>
    </row>
    <row r="4" spans="1:5" ht="12.75">
      <c r="A4" s="113">
        <v>0</v>
      </c>
      <c r="B4" s="114">
        <v>0</v>
      </c>
      <c r="C4" s="114">
        <v>0</v>
      </c>
      <c r="D4" s="114">
        <v>0</v>
      </c>
      <c r="E4" s="115">
        <v>0</v>
      </c>
    </row>
    <row r="5" spans="1:5" ht="12.75">
      <c r="A5" s="116">
        <v>1</v>
      </c>
      <c r="B5" s="117">
        <v>15</v>
      </c>
      <c r="C5" s="118" t="s">
        <v>56</v>
      </c>
      <c r="D5" s="119">
        <v>15.7</v>
      </c>
      <c r="E5" s="120">
        <v>2.8</v>
      </c>
    </row>
    <row r="6" spans="1:5" ht="12.75">
      <c r="A6" s="116">
        <v>2</v>
      </c>
      <c r="B6" s="117">
        <v>20</v>
      </c>
      <c r="C6" s="118" t="s">
        <v>57</v>
      </c>
      <c r="D6" s="119">
        <v>20.9</v>
      </c>
      <c r="E6" s="120">
        <v>2.9</v>
      </c>
    </row>
    <row r="7" spans="1:5" ht="12.75">
      <c r="A7" s="116">
        <v>3</v>
      </c>
      <c r="B7" s="117">
        <v>25</v>
      </c>
      <c r="C7" s="118" t="s">
        <v>58</v>
      </c>
      <c r="D7" s="119">
        <v>26.6</v>
      </c>
      <c r="E7" s="120">
        <v>3.4</v>
      </c>
    </row>
    <row r="8" spans="1:5" ht="12.75">
      <c r="A8" s="116">
        <v>4</v>
      </c>
      <c r="B8" s="117">
        <v>32</v>
      </c>
      <c r="C8" s="118" t="s">
        <v>59</v>
      </c>
      <c r="D8" s="119">
        <v>35</v>
      </c>
      <c r="E8" s="120">
        <v>3.6</v>
      </c>
    </row>
    <row r="9" spans="1:5" ht="12.75">
      <c r="A9" s="116">
        <v>5</v>
      </c>
      <c r="B9" s="117">
        <v>40</v>
      </c>
      <c r="C9" s="118" t="s">
        <v>60</v>
      </c>
      <c r="D9" s="119">
        <v>40.9</v>
      </c>
      <c r="E9" s="120">
        <v>3.7</v>
      </c>
    </row>
    <row r="10" spans="1:5" ht="12.75">
      <c r="A10" s="116">
        <v>6</v>
      </c>
      <c r="B10" s="117">
        <v>50</v>
      </c>
      <c r="C10" s="118" t="s">
        <v>61</v>
      </c>
      <c r="D10" s="119">
        <v>52.5</v>
      </c>
      <c r="E10" s="120">
        <v>3.9</v>
      </c>
    </row>
    <row r="11" spans="1:5" ht="12.75">
      <c r="A11" s="116">
        <v>7</v>
      </c>
      <c r="B11" s="117">
        <v>65</v>
      </c>
      <c r="C11" s="118" t="s">
        <v>62</v>
      </c>
      <c r="D11" s="119">
        <v>62.6</v>
      </c>
      <c r="E11" s="120">
        <v>5.2</v>
      </c>
    </row>
    <row r="12" spans="1:5" ht="12.75">
      <c r="A12" s="116">
        <v>8</v>
      </c>
      <c r="B12" s="117">
        <v>80</v>
      </c>
      <c r="C12" s="118" t="s">
        <v>63</v>
      </c>
      <c r="D12" s="119">
        <v>77.9</v>
      </c>
      <c r="E12" s="120">
        <v>5.5</v>
      </c>
    </row>
    <row r="13" spans="1:5" ht="12.75">
      <c r="A13" s="116">
        <v>9</v>
      </c>
      <c r="B13" s="117">
        <v>100</v>
      </c>
      <c r="C13" s="118" t="s">
        <v>64</v>
      </c>
      <c r="D13" s="119">
        <v>102.3</v>
      </c>
      <c r="E13" s="120">
        <v>6</v>
      </c>
    </row>
    <row r="14" spans="1:5" ht="12.75">
      <c r="A14" s="116">
        <v>10</v>
      </c>
      <c r="B14" s="117">
        <v>125</v>
      </c>
      <c r="C14" s="118" t="s">
        <v>65</v>
      </c>
      <c r="D14" s="119">
        <v>127.8</v>
      </c>
      <c r="E14" s="120">
        <v>6.6</v>
      </c>
    </row>
    <row r="15" spans="1:5" ht="12.75">
      <c r="A15" s="116">
        <v>11</v>
      </c>
      <c r="B15" s="117">
        <v>150</v>
      </c>
      <c r="C15" s="118" t="s">
        <v>66</v>
      </c>
      <c r="D15" s="119">
        <v>154.1</v>
      </c>
      <c r="E15" s="120">
        <v>7.1</v>
      </c>
    </row>
    <row r="16" spans="1:5" ht="13.5" thickBot="1">
      <c r="A16" s="121">
        <v>12</v>
      </c>
      <c r="B16" s="122">
        <v>200</v>
      </c>
      <c r="C16" s="123" t="s">
        <v>67</v>
      </c>
      <c r="D16" s="124">
        <f>219.1-E16*2</f>
        <v>202.74</v>
      </c>
      <c r="E16" s="125">
        <v>8.18</v>
      </c>
    </row>
    <row r="17" ht="12.75">
      <c r="B17" s="126"/>
    </row>
    <row r="18" ht="12.75">
      <c r="B18" s="126"/>
    </row>
    <row r="20" ht="15" customHeight="1" thickBot="1"/>
    <row r="21" spans="1:20" s="130" customFormat="1" ht="12" customHeight="1">
      <c r="A21" s="127" t="s">
        <v>107</v>
      </c>
      <c r="B21" s="128" t="s">
        <v>108</v>
      </c>
      <c r="C21" s="128" t="s">
        <v>109</v>
      </c>
      <c r="D21" s="129" t="s">
        <v>76</v>
      </c>
      <c r="I21" s="131"/>
      <c r="L21" s="131"/>
      <c r="M21" s="131"/>
      <c r="N21" s="131"/>
      <c r="T21" s="132"/>
    </row>
    <row r="22" spans="1:20" s="130" customFormat="1" ht="12" customHeight="1">
      <c r="A22" s="133" t="s">
        <v>110</v>
      </c>
      <c r="B22" s="134" t="s">
        <v>111</v>
      </c>
      <c r="C22" s="135" t="s">
        <v>112</v>
      </c>
      <c r="D22" s="136" t="s">
        <v>113</v>
      </c>
      <c r="I22" s="131"/>
      <c r="L22" s="131"/>
      <c r="M22" s="131"/>
      <c r="N22" s="131"/>
      <c r="T22" s="132"/>
    </row>
    <row r="23" spans="1:14" s="130" customFormat="1" ht="11.25">
      <c r="A23" s="137" t="s">
        <v>114</v>
      </c>
      <c r="B23" s="138"/>
      <c r="C23" s="138">
        <v>1.5</v>
      </c>
      <c r="D23" s="139">
        <v>1.6</v>
      </c>
      <c r="I23" s="131"/>
      <c r="L23" s="131"/>
      <c r="M23" s="131"/>
      <c r="N23" s="131"/>
    </row>
    <row r="24" spans="1:14" s="130" customFormat="1" ht="11.25">
      <c r="A24" s="137" t="s">
        <v>115</v>
      </c>
      <c r="B24" s="138"/>
      <c r="C24" s="138"/>
      <c r="D24" s="139">
        <v>2.5</v>
      </c>
      <c r="I24" s="131"/>
      <c r="L24" s="131"/>
      <c r="M24" s="131"/>
      <c r="N24" s="131"/>
    </row>
    <row r="25" spans="1:14" s="130" customFormat="1" ht="11.25">
      <c r="A25" s="137" t="s">
        <v>116</v>
      </c>
      <c r="B25" s="140">
        <v>0.95</v>
      </c>
      <c r="C25" s="138">
        <v>5250</v>
      </c>
      <c r="D25" s="139">
        <f>C25/(8500*B25)</f>
        <v>0.6501547987616099</v>
      </c>
      <c r="H25" s="141"/>
      <c r="I25" s="131"/>
      <c r="L25" s="142"/>
      <c r="M25" s="131"/>
      <c r="N25" s="131"/>
    </row>
    <row r="26" spans="1:14" s="130" customFormat="1" ht="11.25">
      <c r="A26" s="137" t="s">
        <v>117</v>
      </c>
      <c r="B26" s="140">
        <v>0.97</v>
      </c>
      <c r="C26" s="138">
        <v>20660</v>
      </c>
      <c r="D26" s="139">
        <v>2.5</v>
      </c>
      <c r="I26" s="131"/>
      <c r="L26" s="131"/>
      <c r="M26" s="131"/>
      <c r="N26" s="131"/>
    </row>
    <row r="27" spans="1:14" s="130" customFormat="1" ht="12" thickBot="1">
      <c r="A27" s="143" t="s">
        <v>118</v>
      </c>
      <c r="B27" s="144">
        <v>1</v>
      </c>
      <c r="C27" s="145">
        <f>60*860</f>
        <v>51600</v>
      </c>
      <c r="D27" s="146">
        <f>C27/(8250*B27)</f>
        <v>6.254545454545455</v>
      </c>
      <c r="I27" s="131"/>
      <c r="L27" s="131"/>
      <c r="M27" s="131"/>
      <c r="N27" s="131"/>
    </row>
    <row r="29" ht="13.5" thickBot="1"/>
    <row r="30" spans="1:2" ht="12.75">
      <c r="A30" s="147" t="s">
        <v>119</v>
      </c>
      <c r="B30" s="148">
        <v>0.3</v>
      </c>
    </row>
    <row r="31" spans="1:2" ht="12.75">
      <c r="A31" s="149" t="s">
        <v>120</v>
      </c>
      <c r="B31" s="150">
        <v>1</v>
      </c>
    </row>
    <row r="32" spans="1:2" ht="12.75">
      <c r="A32" s="149" t="s">
        <v>121</v>
      </c>
      <c r="B32" s="151">
        <v>0.5</v>
      </c>
    </row>
    <row r="33" spans="1:2" ht="13.5" thickBot="1">
      <c r="A33" s="152" t="s">
        <v>76</v>
      </c>
      <c r="B33" s="153">
        <v>0.8</v>
      </c>
    </row>
    <row r="34" ht="13.5" thickBot="1"/>
    <row r="35" spans="1:4" ht="23.25" customHeight="1" thickBot="1">
      <c r="A35" s="154" t="s">
        <v>77</v>
      </c>
      <c r="B35" s="155" t="s">
        <v>122</v>
      </c>
      <c r="C35" s="155" t="s">
        <v>123</v>
      </c>
      <c r="D35" s="156" t="s">
        <v>124</v>
      </c>
    </row>
    <row r="36" spans="1:4" ht="12.75">
      <c r="A36" s="157" t="s">
        <v>125</v>
      </c>
      <c r="B36" s="158">
        <v>2</v>
      </c>
      <c r="C36" s="158">
        <v>6</v>
      </c>
      <c r="D36" s="159">
        <v>8</v>
      </c>
    </row>
    <row r="37" spans="1:4" ht="12.75">
      <c r="A37" s="160" t="s">
        <v>78</v>
      </c>
      <c r="B37" s="118">
        <v>5</v>
      </c>
      <c r="C37" s="118">
        <v>10</v>
      </c>
      <c r="D37" s="120">
        <v>13</v>
      </c>
    </row>
    <row r="38" spans="1:4" ht="12.75">
      <c r="A38" s="160" t="s">
        <v>126</v>
      </c>
      <c r="B38" s="118">
        <v>5</v>
      </c>
      <c r="C38" s="118">
        <v>16</v>
      </c>
      <c r="D38" s="120">
        <v>21</v>
      </c>
    </row>
    <row r="39" spans="1:4" ht="12.75">
      <c r="A39" s="160" t="s">
        <v>127</v>
      </c>
      <c r="B39" s="118">
        <v>10</v>
      </c>
      <c r="C39" s="118">
        <v>25</v>
      </c>
      <c r="D39" s="120">
        <v>33</v>
      </c>
    </row>
    <row r="40" spans="1:4" ht="12.75">
      <c r="A40" s="160" t="s">
        <v>128</v>
      </c>
      <c r="B40" s="118">
        <v>21</v>
      </c>
      <c r="C40" s="118">
        <v>40</v>
      </c>
      <c r="D40" s="120">
        <v>52</v>
      </c>
    </row>
    <row r="41" spans="1:4" ht="12.75">
      <c r="A41" s="160" t="s">
        <v>129</v>
      </c>
      <c r="B41" s="118">
        <v>40</v>
      </c>
      <c r="C41" s="118">
        <v>65</v>
      </c>
      <c r="D41" s="120">
        <v>85</v>
      </c>
    </row>
    <row r="42" spans="1:4" ht="13.5" thickBot="1">
      <c r="A42" s="161" t="s">
        <v>130</v>
      </c>
      <c r="B42" s="123">
        <v>60</v>
      </c>
      <c r="C42" s="123">
        <v>100</v>
      </c>
      <c r="D42" s="125"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S32" sqref="S32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3" width="1.7109375" style="238" customWidth="1"/>
    <col min="4" max="4" width="5.28125" style="0" customWidth="1"/>
    <col min="5" max="7" width="6.7109375" style="0" customWidth="1"/>
    <col min="8" max="8" width="1.7109375" style="238" customWidth="1"/>
    <col min="9" max="11" width="4.7109375" style="0" customWidth="1"/>
    <col min="12" max="12" width="1.7109375" style="238" customWidth="1"/>
    <col min="13" max="15" width="4.7109375" style="0" customWidth="1"/>
    <col min="16" max="16" width="1.7109375" style="238" customWidth="1"/>
    <col min="17" max="19" width="4.7109375" style="0" customWidth="1"/>
    <col min="20" max="20" width="1.7109375" style="238" customWidth="1"/>
    <col min="21" max="23" width="4.7109375" style="0" customWidth="1"/>
    <col min="24" max="24" width="1.7109375" style="238" customWidth="1"/>
  </cols>
  <sheetData>
    <row r="1" spans="1:23" ht="70.5" customHeight="1">
      <c r="A1" s="237" t="s">
        <v>223</v>
      </c>
      <c r="B1" s="237"/>
      <c r="C1" s="239"/>
      <c r="D1" s="312" t="s">
        <v>224</v>
      </c>
      <c r="E1" s="312" t="s">
        <v>226</v>
      </c>
      <c r="F1" s="313" t="s">
        <v>228</v>
      </c>
      <c r="G1" s="313" t="s">
        <v>229</v>
      </c>
      <c r="H1" s="239"/>
      <c r="I1" s="312" t="s">
        <v>264</v>
      </c>
      <c r="J1" s="313" t="s">
        <v>227</v>
      </c>
      <c r="K1" s="313" t="s">
        <v>229</v>
      </c>
      <c r="L1" s="239"/>
      <c r="M1" s="312" t="s">
        <v>225</v>
      </c>
      <c r="N1" s="313" t="s">
        <v>227</v>
      </c>
      <c r="O1" s="313" t="s">
        <v>229</v>
      </c>
      <c r="P1" s="314"/>
      <c r="Q1" s="312" t="s">
        <v>235</v>
      </c>
      <c r="R1" s="313" t="s">
        <v>227</v>
      </c>
      <c r="S1" s="313" t="s">
        <v>229</v>
      </c>
      <c r="T1" s="314"/>
      <c r="U1" s="312" t="s">
        <v>265</v>
      </c>
      <c r="V1" s="313" t="s">
        <v>227</v>
      </c>
      <c r="W1" s="313" t="s">
        <v>229</v>
      </c>
    </row>
    <row r="2" spans="1:23" ht="12.75">
      <c r="A2" s="87" t="s">
        <v>29</v>
      </c>
      <c r="B2" s="88">
        <v>15</v>
      </c>
      <c r="C2" s="240"/>
      <c r="D2">
        <f>SUMIF(hesap21!$E$8:$E$107,"=15",hesap21!$D$8:$D$107)</f>
        <v>3.05</v>
      </c>
      <c r="E2">
        <v>2.08</v>
      </c>
      <c r="F2">
        <v>5.75</v>
      </c>
      <c r="G2" s="236">
        <f>D2*E2</f>
        <v>6.343999999999999</v>
      </c>
      <c r="H2" s="240"/>
      <c r="I2">
        <f>SUMIF(hesap21!$E$8:$E$107,"=15",hesap21!$I$8:$I$107)</f>
        <v>1</v>
      </c>
      <c r="J2">
        <v>2</v>
      </c>
      <c r="K2" s="236">
        <f>I2*J2</f>
        <v>2</v>
      </c>
      <c r="L2" s="240"/>
      <c r="M2">
        <f>SUMIF(hesap21!$E$8:$E$107,"=15",hesap21!$J$8:$J$107)</f>
        <v>3</v>
      </c>
      <c r="N2">
        <v>2</v>
      </c>
      <c r="O2" s="236">
        <f>M2*N2</f>
        <v>6</v>
      </c>
      <c r="Q2">
        <f>SUMIF(hesap21!$E$8:$E$107,"=15",hesap21!$L$8:$L$107)</f>
        <v>2</v>
      </c>
      <c r="R2">
        <v>1</v>
      </c>
      <c r="S2" s="236">
        <f>Q2*R2</f>
        <v>2</v>
      </c>
      <c r="U2">
        <f>SUMIF(hesap21!$E$8:$E$107,"=15",hesap21!$M$8:$M$107)</f>
        <v>1</v>
      </c>
      <c r="V2">
        <v>1</v>
      </c>
      <c r="W2" s="236">
        <f>U2*V2</f>
        <v>1</v>
      </c>
    </row>
    <row r="3" spans="1:23" ht="12.75">
      <c r="A3" s="164" t="s">
        <v>29</v>
      </c>
      <c r="B3" s="165">
        <v>20</v>
      </c>
      <c r="C3" s="240"/>
      <c r="D3">
        <f>SUMIF(hesap21!$E$8:$E$107,"=20",hesap21!$D$8:$D$107)</f>
        <v>1.9</v>
      </c>
      <c r="E3">
        <v>2.79</v>
      </c>
      <c r="F3">
        <v>6.5</v>
      </c>
      <c r="G3" s="236">
        <f aca="true" t="shared" si="0" ref="G3:G9">D3*E3</f>
        <v>5.301</v>
      </c>
      <c r="H3" s="240"/>
      <c r="I3">
        <f>SUMIF(hesap21!$E$8:$E$107,"=20",hesap21!$I$8:$I$107)</f>
        <v>1</v>
      </c>
      <c r="J3">
        <v>2</v>
      </c>
      <c r="K3" s="236">
        <f aca="true" t="shared" si="1" ref="K3:K9">I3*J3</f>
        <v>2</v>
      </c>
      <c r="L3" s="240"/>
      <c r="M3">
        <f>SUMIF(hesap21!$E$8:$E$107,"=20",hesap21!$J$8:$J$107)</f>
        <v>2</v>
      </c>
      <c r="N3">
        <v>2</v>
      </c>
      <c r="O3" s="236">
        <f aca="true" t="shared" si="2" ref="O3:O9">M3*N3</f>
        <v>4</v>
      </c>
      <c r="Q3">
        <f>SUMIF(hesap21!$E$8:$E$107,"=20",hesap21!$L$8:$L$107)</f>
        <v>0</v>
      </c>
      <c r="R3">
        <v>1</v>
      </c>
      <c r="S3" s="236">
        <f aca="true" t="shared" si="3" ref="S3:S9">Q3*R3</f>
        <v>0</v>
      </c>
      <c r="U3">
        <f>SUMIF(hesap21!$E$8:$E$107,"=20",hesap21!$M$8:$M$107)</f>
        <v>0</v>
      </c>
      <c r="V3">
        <v>1</v>
      </c>
      <c r="W3" s="236">
        <f aca="true" t="shared" si="4" ref="W3:W9">U3*V3</f>
        <v>0</v>
      </c>
    </row>
    <row r="4" spans="1:23" ht="12.75">
      <c r="A4" s="87" t="s">
        <v>29</v>
      </c>
      <c r="B4" s="88">
        <v>25</v>
      </c>
      <c r="C4" s="240"/>
      <c r="D4">
        <f>SUMIF(hesap21!$E$8:$E$107,"=25",hesap21!$D$8:$D$107)</f>
        <v>0</v>
      </c>
      <c r="E4">
        <v>4.09</v>
      </c>
      <c r="F4">
        <v>8.36</v>
      </c>
      <c r="G4" s="236">
        <f t="shared" si="0"/>
        <v>0</v>
      </c>
      <c r="H4" s="240"/>
      <c r="I4">
        <f>SUMIF(hesap21!$E$8:$E$107,"=25",hesap21!$I$8:$I$107)</f>
        <v>0</v>
      </c>
      <c r="J4">
        <v>2</v>
      </c>
      <c r="K4" s="236">
        <f t="shared" si="1"/>
        <v>0</v>
      </c>
      <c r="L4" s="240"/>
      <c r="M4">
        <f>SUMIF(hesap21!$E$8:$E$107,"=25",hesap21!$J$8:$J$107)</f>
        <v>0</v>
      </c>
      <c r="N4">
        <v>2</v>
      </c>
      <c r="O4" s="236">
        <f t="shared" si="2"/>
        <v>0</v>
      </c>
      <c r="Q4">
        <f>SUMIF(hesap21!$E$8:$E$107,"=25",hesap21!$L$8:$L$107)</f>
        <v>0</v>
      </c>
      <c r="R4">
        <v>1</v>
      </c>
      <c r="S4" s="236">
        <f t="shared" si="3"/>
        <v>0</v>
      </c>
      <c r="U4">
        <f>SUMIF(hesap21!$E$8:$E$107,"=25",hesap21!$M$8:$M$107)</f>
        <v>0</v>
      </c>
      <c r="V4">
        <v>1</v>
      </c>
      <c r="W4" s="236">
        <f t="shared" si="4"/>
        <v>0</v>
      </c>
    </row>
    <row r="5" spans="1:23" ht="12.75">
      <c r="A5" s="164" t="s">
        <v>29</v>
      </c>
      <c r="B5" s="165">
        <v>32</v>
      </c>
      <c r="C5" s="240"/>
      <c r="D5">
        <f>SUMIF(hesap21!$E$8:$E$107,"=32",hesap21!$D$8:$D$107)</f>
        <v>7.699999999999999</v>
      </c>
      <c r="E5">
        <v>5.54</v>
      </c>
      <c r="F5">
        <v>11.45</v>
      </c>
      <c r="G5" s="236">
        <f t="shared" si="0"/>
        <v>42.657999999999994</v>
      </c>
      <c r="H5" s="240"/>
      <c r="I5">
        <f>SUMIF(hesap21!$E$8:$E$107,"=32",hesap21!$I$8:$I$107)</f>
        <v>0</v>
      </c>
      <c r="J5">
        <v>2</v>
      </c>
      <c r="K5" s="236">
        <f t="shared" si="1"/>
        <v>0</v>
      </c>
      <c r="L5" s="240"/>
      <c r="M5">
        <f>SUMIF(hesap21!$E$8:$E$107,"=32",hesap21!$J$8:$J$107)</f>
        <v>8</v>
      </c>
      <c r="N5">
        <v>2</v>
      </c>
      <c r="O5" s="236">
        <f t="shared" si="2"/>
        <v>16</v>
      </c>
      <c r="Q5">
        <f>SUMIF(hesap21!$E$8:$E$107,"=32",hesap21!$L$8:$L$107)</f>
        <v>3</v>
      </c>
      <c r="R5">
        <v>1</v>
      </c>
      <c r="S5" s="236">
        <f t="shared" si="3"/>
        <v>3</v>
      </c>
      <c r="U5">
        <f>SUMIF(hesap21!$E$8:$E$107,"=32",hesap21!$M$8:$M$107)</f>
        <v>0</v>
      </c>
      <c r="V5">
        <v>1</v>
      </c>
      <c r="W5" s="236">
        <f t="shared" si="4"/>
        <v>0</v>
      </c>
    </row>
    <row r="6" spans="1:23" ht="12.75">
      <c r="A6" s="87" t="s">
        <v>29</v>
      </c>
      <c r="B6" s="88">
        <v>40</v>
      </c>
      <c r="C6" s="240"/>
      <c r="D6">
        <f>SUMIF(hesap21!$E$8:$E$107,"=40",hesap21!$D$8:$D$107)</f>
        <v>0</v>
      </c>
      <c r="E6">
        <v>6.64</v>
      </c>
      <c r="F6">
        <v>13</v>
      </c>
      <c r="G6" s="236">
        <f t="shared" si="0"/>
        <v>0</v>
      </c>
      <c r="H6" s="240"/>
      <c r="I6">
        <f>SUMIF(hesap21!$E$8:$E$107,"=40",hesap21!$I$8:$I$107)</f>
        <v>0</v>
      </c>
      <c r="J6">
        <v>2</v>
      </c>
      <c r="K6" s="236">
        <f t="shared" si="1"/>
        <v>0</v>
      </c>
      <c r="L6" s="240"/>
      <c r="M6">
        <f>SUMIF(hesap21!$E$8:$E$107,"=40",hesap21!$J$8:$J$107)</f>
        <v>0</v>
      </c>
      <c r="N6">
        <v>2</v>
      </c>
      <c r="O6" s="236">
        <f t="shared" si="2"/>
        <v>0</v>
      </c>
      <c r="Q6">
        <f>SUMIF(hesap21!$E$8:$E$107,"=40",hesap21!$L$8:$L$107)</f>
        <v>0</v>
      </c>
      <c r="R6">
        <v>1</v>
      </c>
      <c r="S6" s="236">
        <f t="shared" si="3"/>
        <v>0</v>
      </c>
      <c r="U6">
        <f>SUMIF(hesap21!$E$8:$E$107,"=40",hesap21!$M$8:$M$107)</f>
        <v>0</v>
      </c>
      <c r="V6">
        <v>1</v>
      </c>
      <c r="W6" s="236">
        <f t="shared" si="4"/>
        <v>0</v>
      </c>
    </row>
    <row r="7" spans="1:23" ht="12.75">
      <c r="A7" s="164" t="s">
        <v>29</v>
      </c>
      <c r="B7" s="165">
        <v>50</v>
      </c>
      <c r="C7" s="240"/>
      <c r="D7">
        <f>SUMIF(hesap21!$E$8:$E$107,"=50",hesap21!$D$8:$D$107)</f>
        <v>0</v>
      </c>
      <c r="E7">
        <v>8.61</v>
      </c>
      <c r="F7">
        <v>17.23</v>
      </c>
      <c r="G7" s="236">
        <f t="shared" si="0"/>
        <v>0</v>
      </c>
      <c r="H7" s="240"/>
      <c r="I7">
        <f>SUMIF(hesap21!$E$8:$E$107,"=50",hesap21!$I$8:$I$107)</f>
        <v>0</v>
      </c>
      <c r="J7">
        <v>2</v>
      </c>
      <c r="K7" s="236">
        <f t="shared" si="1"/>
        <v>0</v>
      </c>
      <c r="L7" s="240"/>
      <c r="M7">
        <f>SUMIF(hesap21!$E$8:$E$107,"=50",hesap21!$J$8:$J$107)</f>
        <v>0</v>
      </c>
      <c r="N7">
        <v>2</v>
      </c>
      <c r="O7" s="236">
        <f t="shared" si="2"/>
        <v>0</v>
      </c>
      <c r="Q7">
        <f>SUMIF(hesap21!$E$8:$E$107,"=50",hesap21!$L$8:$L$107)</f>
        <v>0</v>
      </c>
      <c r="R7">
        <v>1</v>
      </c>
      <c r="S7" s="236">
        <f t="shared" si="3"/>
        <v>0</v>
      </c>
      <c r="U7">
        <f>SUMIF(hesap21!$E$8:$E$107,"=50",hesap21!$M$8:$M$107)</f>
        <v>0</v>
      </c>
      <c r="V7">
        <v>1</v>
      </c>
      <c r="W7" s="236">
        <f t="shared" si="4"/>
        <v>0</v>
      </c>
    </row>
    <row r="8" spans="1:23" ht="12.75">
      <c r="A8" s="87" t="s">
        <v>29</v>
      </c>
      <c r="B8" s="88">
        <v>65</v>
      </c>
      <c r="C8" s="240"/>
      <c r="D8">
        <f>SUMIF(hesap21!$E$8:$E$107,"=65",hesap21!$D$8:$D$107)</f>
        <v>0</v>
      </c>
      <c r="E8">
        <v>13.63</v>
      </c>
      <c r="F8">
        <v>24.86</v>
      </c>
      <c r="G8" s="236">
        <f t="shared" si="0"/>
        <v>0</v>
      </c>
      <c r="H8" s="240"/>
      <c r="I8">
        <f>SUMIF(hesap21!$E$8:$E$107,"=65",hesap21!$I$8:$I$107)</f>
        <v>0</v>
      </c>
      <c r="J8">
        <v>2</v>
      </c>
      <c r="K8" s="236">
        <f t="shared" si="1"/>
        <v>0</v>
      </c>
      <c r="L8" s="240"/>
      <c r="M8">
        <f>SUMIF(hesap21!$E$8:$E$107,"=65",hesap21!$J$8:$J$107)</f>
        <v>0</v>
      </c>
      <c r="N8">
        <v>2</v>
      </c>
      <c r="O8" s="236">
        <f t="shared" si="2"/>
        <v>0</v>
      </c>
      <c r="Q8">
        <f>SUMIF(hesap21!$E$8:$E$107,"=65",hesap21!$L$8:$L$107)</f>
        <v>0</v>
      </c>
      <c r="R8">
        <v>1</v>
      </c>
      <c r="S8" s="236">
        <f t="shared" si="3"/>
        <v>0</v>
      </c>
      <c r="U8">
        <f>SUMIF(hesap21!$E$8:$E$107,"=50",hesap21!$M$8:$M$107)</f>
        <v>0</v>
      </c>
      <c r="V8">
        <v>1</v>
      </c>
      <c r="W8" s="236">
        <f t="shared" si="4"/>
        <v>0</v>
      </c>
    </row>
    <row r="9" spans="1:23" ht="12.75">
      <c r="A9" s="164" t="s">
        <v>29</v>
      </c>
      <c r="B9" s="165">
        <v>80</v>
      </c>
      <c r="C9" s="240"/>
      <c r="D9">
        <f>SUMIF(hesap21!$E$8:$E$107,"=80",hesap21!$D$8:$D$107)</f>
        <v>0</v>
      </c>
      <c r="E9">
        <v>17.74</v>
      </c>
      <c r="F9">
        <v>31.19</v>
      </c>
      <c r="G9" s="236">
        <f t="shared" si="0"/>
        <v>0</v>
      </c>
      <c r="H9" s="240"/>
      <c r="I9">
        <f>SUMIF(hesap21!$E$8:$E$107,"=80",hesap21!$I$8:$I$107)</f>
        <v>0</v>
      </c>
      <c r="J9">
        <v>2</v>
      </c>
      <c r="K9" s="236">
        <f t="shared" si="1"/>
        <v>0</v>
      </c>
      <c r="L9" s="240"/>
      <c r="M9">
        <f>SUMIF(hesap21!$E$8:$E$107,"=80",hesap21!$J$8:$J$107)</f>
        <v>0</v>
      </c>
      <c r="N9">
        <v>2</v>
      </c>
      <c r="O9" s="236">
        <f t="shared" si="2"/>
        <v>0</v>
      </c>
      <c r="Q9">
        <f>SUMIF(hesap21!$E$8:$E$107,"=80",hesap21!$L$8:$L$107)</f>
        <v>0</v>
      </c>
      <c r="R9">
        <v>1</v>
      </c>
      <c r="S9" s="236">
        <f t="shared" si="3"/>
        <v>0</v>
      </c>
      <c r="U9">
        <f>SUMIF(hesap21!$E$8:$E$107,"=65",hesap21!$M$8:$M$107)</f>
        <v>0</v>
      </c>
      <c r="V9">
        <v>1</v>
      </c>
      <c r="W9" s="236">
        <f t="shared" si="4"/>
        <v>0</v>
      </c>
    </row>
    <row r="10" spans="7:23" ht="12.75">
      <c r="G10">
        <f>SUM(G2:G9)</f>
        <v>54.303</v>
      </c>
      <c r="K10">
        <f>SUM(K2:K9)</f>
        <v>4</v>
      </c>
      <c r="O10">
        <f>SUM(O2:O9)</f>
        <v>26</v>
      </c>
      <c r="S10">
        <f>SUM(S2:S9)</f>
        <v>5</v>
      </c>
      <c r="W10">
        <f>SUM(W2:W9)</f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İNKAY</dc:creator>
  <cp:keywords/>
  <dc:description/>
  <cp:lastModifiedBy>OFD</cp:lastModifiedBy>
  <cp:lastPrinted>2006-05-11T15:48:48Z</cp:lastPrinted>
  <dcterms:created xsi:type="dcterms:W3CDTF">2005-10-16T21:33:38Z</dcterms:created>
  <dcterms:modified xsi:type="dcterms:W3CDTF">2016-03-24T12:05:03Z</dcterms:modified>
  <cp:category/>
  <cp:version/>
  <cp:contentType/>
  <cp:contentStatus/>
</cp:coreProperties>
</file>